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ft1027151-my.sharepoint.com/personal/meghan_aepropertymanagement_com/Documents/Alpine Edge/HOA/Tannhauser Management Association/Budgets/FY24-25 (July-June)/"/>
    </mc:Choice>
  </mc:AlternateContent>
  <xr:revisionPtr revIDLastSave="783" documentId="8_{DE093000-1491-4F95-9378-57AF055FF58B}" xr6:coauthVersionLast="47" xr6:coauthVersionMax="47" xr10:uidLastSave="{AF4B50CA-E2A2-4F3F-8615-965A92811C68}"/>
  <bookViews>
    <workbookView xWindow="-28920" yWindow="-120" windowWidth="29040" windowHeight="15720" firstSheet="2" activeTab="4" xr2:uid="{00000000-000D-0000-FFFF-FFFF00000000}"/>
  </bookViews>
  <sheets>
    <sheet name="2023-24 Proposed Budget" sheetId="1" r:id="rId1"/>
    <sheet name="2023-2024 Budg v Act" sheetId="7" r:id="rId2"/>
    <sheet name="Dues Allocation" sheetId="4" r:id="rId3"/>
    <sheet name="2023-2024 Income Stmt Forecast" sheetId="5" r:id="rId4"/>
    <sheet name="2024-2025 Approved Budget" sheetId="6" r:id="rId5"/>
    <sheet name="Mtg Copy" sheetId="9" r:id="rId6"/>
    <sheet name="Flat Dues" sheetId="8" r:id="rId7"/>
  </sheets>
  <definedNames>
    <definedName name="_xlnm._FilterDatabase" localSheetId="2" hidden="1">'Dues Allocation'!$A$2:$C$36</definedName>
    <definedName name="_xlnm._FilterDatabase" localSheetId="6" hidden="1">'Flat Dues'!$A$2:$C$36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9" i="9" l="1"/>
  <c r="B78" i="9"/>
  <c r="E66" i="9"/>
  <c r="B66" i="9"/>
  <c r="D65" i="9"/>
  <c r="D64" i="9"/>
  <c r="D63" i="9"/>
  <c r="C62" i="9"/>
  <c r="C66" i="9" s="1"/>
  <c r="E59" i="9"/>
  <c r="E68" i="9" s="1"/>
  <c r="C59" i="9"/>
  <c r="C68" i="9" s="1"/>
  <c r="C58" i="9"/>
  <c r="B58" i="9"/>
  <c r="D58" i="9" s="1"/>
  <c r="C57" i="9"/>
  <c r="B57" i="9"/>
  <c r="B80" i="9" s="1"/>
  <c r="C56" i="9"/>
  <c r="B56" i="9"/>
  <c r="B59" i="9" s="1"/>
  <c r="B68" i="9" s="1"/>
  <c r="E55" i="9"/>
  <c r="C48" i="9"/>
  <c r="D48" i="9" s="1"/>
  <c r="C47" i="9"/>
  <c r="D47" i="9" s="1"/>
  <c r="D46" i="9"/>
  <c r="C46" i="9"/>
  <c r="C45" i="9"/>
  <c r="D45" i="9" s="1"/>
  <c r="C44" i="9"/>
  <c r="D44" i="9" s="1"/>
  <c r="C43" i="9"/>
  <c r="D43" i="9" s="1"/>
  <c r="B43" i="9"/>
  <c r="C42" i="9"/>
  <c r="D42" i="9" s="1"/>
  <c r="B42" i="9"/>
  <c r="E41" i="9"/>
  <c r="C41" i="9"/>
  <c r="D41" i="9" s="1"/>
  <c r="B41" i="9"/>
  <c r="D40" i="9"/>
  <c r="C39" i="9"/>
  <c r="D39" i="9" s="1"/>
  <c r="B39" i="9"/>
  <c r="C38" i="9"/>
  <c r="D38" i="9" s="1"/>
  <c r="B38" i="9"/>
  <c r="C37" i="9"/>
  <c r="D37" i="9" s="1"/>
  <c r="C36" i="9"/>
  <c r="D36" i="9" s="1"/>
  <c r="B36" i="9"/>
  <c r="C35" i="9"/>
  <c r="E35" i="9" s="1"/>
  <c r="B35" i="9"/>
  <c r="C34" i="9"/>
  <c r="D34" i="9" s="1"/>
  <c r="B34" i="9"/>
  <c r="E33" i="9"/>
  <c r="D33" i="9"/>
  <c r="C33" i="9"/>
  <c r="B33" i="9"/>
  <c r="C32" i="9"/>
  <c r="E32" i="9" s="1"/>
  <c r="B32" i="9"/>
  <c r="C31" i="9"/>
  <c r="E31" i="9" s="1"/>
  <c r="B31" i="9"/>
  <c r="C30" i="9"/>
  <c r="D30" i="9" s="1"/>
  <c r="B30" i="9"/>
  <c r="C29" i="9"/>
  <c r="D29" i="9" s="1"/>
  <c r="B29" i="9"/>
  <c r="C28" i="9"/>
  <c r="D28" i="9" s="1"/>
  <c r="B28" i="9"/>
  <c r="C27" i="9"/>
  <c r="D27" i="9" s="1"/>
  <c r="B27" i="9"/>
  <c r="C26" i="9"/>
  <c r="D26" i="9" s="1"/>
  <c r="B26" i="9"/>
  <c r="B25" i="9"/>
  <c r="D25" i="9" s="1"/>
  <c r="B24" i="9"/>
  <c r="D24" i="9" s="1"/>
  <c r="C23" i="9"/>
  <c r="D23" i="9" s="1"/>
  <c r="B23" i="9"/>
  <c r="C22" i="9"/>
  <c r="D22" i="9" s="1"/>
  <c r="B22" i="9"/>
  <c r="B50" i="9" s="1"/>
  <c r="B72" i="9" s="1"/>
  <c r="D72" i="9" s="1"/>
  <c r="D21" i="9"/>
  <c r="C20" i="9"/>
  <c r="D20" i="9" s="1"/>
  <c r="B20" i="9"/>
  <c r="C19" i="9"/>
  <c r="D19" i="9" s="1"/>
  <c r="B19" i="9"/>
  <c r="D18" i="9"/>
  <c r="C17" i="9"/>
  <c r="D17" i="9" s="1"/>
  <c r="C16" i="9"/>
  <c r="C50" i="9" s="1"/>
  <c r="C72" i="9" s="1"/>
  <c r="D15" i="9"/>
  <c r="C15" i="9"/>
  <c r="C10" i="9"/>
  <c r="B10" i="9"/>
  <c r="D10" i="9" s="1"/>
  <c r="C9" i="9"/>
  <c r="B9" i="9"/>
  <c r="D9" i="9" s="1"/>
  <c r="C8" i="9"/>
  <c r="B8" i="9"/>
  <c r="D8" i="9" s="1"/>
  <c r="C7" i="9"/>
  <c r="B7" i="9"/>
  <c r="D7" i="9" s="1"/>
  <c r="C6" i="9"/>
  <c r="C12" i="9" s="1"/>
  <c r="C12" i="6"/>
  <c r="B38" i="8"/>
  <c r="C36" i="8" s="1"/>
  <c r="H36" i="8"/>
  <c r="I36" i="8" s="1"/>
  <c r="C35" i="8"/>
  <c r="H35" i="8" s="1"/>
  <c r="I35" i="8" s="1"/>
  <c r="C34" i="8"/>
  <c r="C33" i="8"/>
  <c r="C31" i="8"/>
  <c r="H31" i="8" s="1"/>
  <c r="I31" i="8" s="1"/>
  <c r="C30" i="8"/>
  <c r="C29" i="8"/>
  <c r="H27" i="8"/>
  <c r="I27" i="8" s="1"/>
  <c r="C27" i="8"/>
  <c r="C26" i="8"/>
  <c r="C25" i="8"/>
  <c r="C23" i="8"/>
  <c r="H23" i="8" s="1"/>
  <c r="I23" i="8" s="1"/>
  <c r="C22" i="8"/>
  <c r="C21" i="8"/>
  <c r="H19" i="8"/>
  <c r="I19" i="8" s="1"/>
  <c r="C19" i="8"/>
  <c r="C18" i="8"/>
  <c r="C17" i="8"/>
  <c r="C15" i="8"/>
  <c r="H15" i="8" s="1"/>
  <c r="I15" i="8" s="1"/>
  <c r="C14" i="8"/>
  <c r="H14" i="8" s="1"/>
  <c r="I14" i="8" s="1"/>
  <c r="C13" i="8"/>
  <c r="C11" i="8"/>
  <c r="H11" i="8" s="1"/>
  <c r="I11" i="8" s="1"/>
  <c r="C10" i="8"/>
  <c r="H10" i="8" s="1"/>
  <c r="I10" i="8" s="1"/>
  <c r="C9" i="8"/>
  <c r="C7" i="8"/>
  <c r="H7" i="8" s="1"/>
  <c r="I7" i="8" s="1"/>
  <c r="C6" i="8"/>
  <c r="H6" i="8" s="1"/>
  <c r="I6" i="8" s="1"/>
  <c r="C5" i="8"/>
  <c r="H33" i="8"/>
  <c r="I33" i="8" s="1"/>
  <c r="H5" i="4"/>
  <c r="H27" i="4"/>
  <c r="H28" i="4"/>
  <c r="H1" i="4"/>
  <c r="H7" i="4" s="1"/>
  <c r="E66" i="6"/>
  <c r="D63" i="6"/>
  <c r="D64" i="6"/>
  <c r="D65" i="6"/>
  <c r="N83" i="5"/>
  <c r="C62" i="6" s="1"/>
  <c r="C66" i="6" s="1"/>
  <c r="B66" i="6"/>
  <c r="D18" i="6"/>
  <c r="N7" i="5"/>
  <c r="C8" i="6" s="1"/>
  <c r="C13" i="4"/>
  <c r="D21" i="6"/>
  <c r="C57" i="6"/>
  <c r="C58" i="6"/>
  <c r="C56" i="6"/>
  <c r="C16" i="6"/>
  <c r="D16" i="6" s="1"/>
  <c r="C17" i="6"/>
  <c r="D17" i="6" s="1"/>
  <c r="C15" i="6"/>
  <c r="D15" i="6" s="1"/>
  <c r="C48" i="6"/>
  <c r="D48" i="6" s="1"/>
  <c r="C47" i="6"/>
  <c r="D47" i="6" s="1"/>
  <c r="C44" i="6"/>
  <c r="D44" i="6" s="1"/>
  <c r="C45" i="6"/>
  <c r="D45" i="6" s="1"/>
  <c r="C46" i="6"/>
  <c r="D46" i="6" s="1"/>
  <c r="C43" i="6"/>
  <c r="C42" i="6"/>
  <c r="C41" i="6"/>
  <c r="D40" i="6"/>
  <c r="C39" i="6"/>
  <c r="C37" i="6"/>
  <c r="D37" i="6" s="1"/>
  <c r="C38" i="6"/>
  <c r="C36" i="6"/>
  <c r="C26" i="6"/>
  <c r="B26" i="6"/>
  <c r="B25" i="6"/>
  <c r="B43" i="6"/>
  <c r="B42" i="6"/>
  <c r="B41" i="6"/>
  <c r="E41" i="6" s="1"/>
  <c r="B39" i="6"/>
  <c r="B38" i="6"/>
  <c r="B36" i="6"/>
  <c r="C30" i="6"/>
  <c r="C31" i="6"/>
  <c r="E31" i="6" s="1"/>
  <c r="C32" i="6"/>
  <c r="E32" i="6" s="1"/>
  <c r="C35" i="6"/>
  <c r="E35" i="6" s="1"/>
  <c r="B28" i="6"/>
  <c r="B27" i="6"/>
  <c r="C28" i="6"/>
  <c r="C27" i="6"/>
  <c r="B35" i="6"/>
  <c r="B32" i="6"/>
  <c r="B33" i="6"/>
  <c r="E33" i="6" s="1"/>
  <c r="B34" i="6"/>
  <c r="B30" i="6"/>
  <c r="B31" i="6"/>
  <c r="B29" i="6"/>
  <c r="B24" i="6"/>
  <c r="B23" i="6"/>
  <c r="B20" i="6"/>
  <c r="B22" i="6"/>
  <c r="B19" i="6"/>
  <c r="N67" i="5"/>
  <c r="N66" i="5"/>
  <c r="N64" i="5"/>
  <c r="N63" i="5"/>
  <c r="N62" i="5"/>
  <c r="N61" i="5"/>
  <c r="N58" i="5"/>
  <c r="N57" i="5"/>
  <c r="N54" i="5"/>
  <c r="N53" i="5"/>
  <c r="N50" i="5"/>
  <c r="N49" i="5"/>
  <c r="N48" i="5"/>
  <c r="N43" i="5"/>
  <c r="N42" i="5"/>
  <c r="C34" i="6" s="1"/>
  <c r="N41" i="5"/>
  <c r="C33" i="6" s="1"/>
  <c r="N40" i="5"/>
  <c r="N39" i="5"/>
  <c r="N38" i="5"/>
  <c r="N37" i="5"/>
  <c r="N34" i="5"/>
  <c r="N33" i="5"/>
  <c r="N32" i="5"/>
  <c r="N31" i="5"/>
  <c r="N28" i="5"/>
  <c r="N22" i="5"/>
  <c r="C22" i="6" s="1"/>
  <c r="N21" i="5"/>
  <c r="C20" i="6" s="1"/>
  <c r="N20" i="5"/>
  <c r="C19" i="6" s="1"/>
  <c r="N25" i="5"/>
  <c r="C23" i="6" s="1"/>
  <c r="B57" i="6"/>
  <c r="B58" i="6"/>
  <c r="B56" i="6"/>
  <c r="C7" i="6"/>
  <c r="C9" i="6"/>
  <c r="C10" i="6"/>
  <c r="C6" i="6"/>
  <c r="B7" i="6"/>
  <c r="B8" i="6"/>
  <c r="B78" i="6" s="1"/>
  <c r="B9" i="6"/>
  <c r="B10" i="6"/>
  <c r="N8" i="5"/>
  <c r="N9" i="5"/>
  <c r="N5" i="5"/>
  <c r="N6" i="5"/>
  <c r="E50" i="9" l="1"/>
  <c r="C52" i="9"/>
  <c r="C71" i="9"/>
  <c r="D79" i="9"/>
  <c r="D16" i="9"/>
  <c r="D50" i="9" s="1"/>
  <c r="D31" i="9"/>
  <c r="D56" i="9"/>
  <c r="D62" i="9"/>
  <c r="D66" i="9" s="1"/>
  <c r="D6" i="9"/>
  <c r="D12" i="9" s="1"/>
  <c r="B79" i="9"/>
  <c r="B12" i="9"/>
  <c r="D35" i="9"/>
  <c r="D57" i="9"/>
  <c r="D32" i="9"/>
  <c r="N44" i="5"/>
  <c r="C29" i="6"/>
  <c r="C50" i="6" s="1"/>
  <c r="C72" i="6" s="1"/>
  <c r="H14" i="4"/>
  <c r="H29" i="4"/>
  <c r="H26" i="4"/>
  <c r="H18" i="4"/>
  <c r="H17" i="4"/>
  <c r="H16" i="4"/>
  <c r="H15" i="4"/>
  <c r="H4" i="4"/>
  <c r="H12" i="4"/>
  <c r="H10" i="4"/>
  <c r="H30" i="4"/>
  <c r="H6" i="4"/>
  <c r="H25" i="4"/>
  <c r="H13" i="4"/>
  <c r="H36" i="4"/>
  <c r="H24" i="4"/>
  <c r="H35" i="4"/>
  <c r="H23" i="4"/>
  <c r="H11" i="4"/>
  <c r="H34" i="4"/>
  <c r="H22" i="4"/>
  <c r="H33" i="4"/>
  <c r="H21" i="4"/>
  <c r="H9" i="4"/>
  <c r="H32" i="4"/>
  <c r="H20" i="4"/>
  <c r="H8" i="4"/>
  <c r="H31" i="4"/>
  <c r="H19" i="4"/>
  <c r="H22" i="8"/>
  <c r="I22" i="8" s="1"/>
  <c r="H30" i="8"/>
  <c r="I30" i="8" s="1"/>
  <c r="H18" i="8"/>
  <c r="I18" i="8" s="1"/>
  <c r="H26" i="8"/>
  <c r="I26" i="8" s="1"/>
  <c r="H34" i="8"/>
  <c r="I34" i="8" s="1"/>
  <c r="C4" i="8"/>
  <c r="H4" i="8" s="1"/>
  <c r="H5" i="8"/>
  <c r="I5" i="8" s="1"/>
  <c r="C8" i="8"/>
  <c r="H8" i="8" s="1"/>
  <c r="I8" i="8" s="1"/>
  <c r="H9" i="8"/>
  <c r="I9" i="8" s="1"/>
  <c r="C12" i="8"/>
  <c r="H13" i="8"/>
  <c r="I13" i="8" s="1"/>
  <c r="C16" i="8"/>
  <c r="H17" i="8"/>
  <c r="I17" i="8" s="1"/>
  <c r="C20" i="8"/>
  <c r="H21" i="8"/>
  <c r="I21" i="8" s="1"/>
  <c r="C24" i="8"/>
  <c r="H25" i="8"/>
  <c r="I25" i="8" s="1"/>
  <c r="C28" i="8"/>
  <c r="H29" i="8"/>
  <c r="I29" i="8" s="1"/>
  <c r="C32" i="8"/>
  <c r="D25" i="6"/>
  <c r="D28" i="6"/>
  <c r="D22" i="6"/>
  <c r="E59" i="6"/>
  <c r="E68" i="6" s="1"/>
  <c r="C79" i="6"/>
  <c r="E55" i="6"/>
  <c r="D36" i="6"/>
  <c r="D32" i="6"/>
  <c r="B79" i="6"/>
  <c r="D42" i="6"/>
  <c r="B80" i="6"/>
  <c r="D34" i="6"/>
  <c r="D24" i="6"/>
  <c r="D31" i="6"/>
  <c r="D30" i="6"/>
  <c r="D23" i="6"/>
  <c r="D33" i="6"/>
  <c r="D27" i="6"/>
  <c r="D20" i="6"/>
  <c r="D26" i="6"/>
  <c r="D39" i="6"/>
  <c r="D41" i="6"/>
  <c r="D35" i="6"/>
  <c r="D43" i="6"/>
  <c r="D38" i="6"/>
  <c r="D19" i="6"/>
  <c r="D62" i="6"/>
  <c r="D66" i="6" s="1"/>
  <c r="D57" i="6"/>
  <c r="B50" i="6"/>
  <c r="B72" i="6" s="1"/>
  <c r="D8" i="6"/>
  <c r="D7" i="6"/>
  <c r="D58" i="6"/>
  <c r="D9" i="6"/>
  <c r="D56" i="6"/>
  <c r="D10" i="6"/>
  <c r="B59" i="6"/>
  <c r="B68" i="6" s="1"/>
  <c r="D6" i="6"/>
  <c r="B12" i="6"/>
  <c r="C59" i="6"/>
  <c r="C74" i="9" l="1"/>
  <c r="E72" i="9"/>
  <c r="E8" i="9"/>
  <c r="D59" i="9"/>
  <c r="B52" i="9"/>
  <c r="D52" i="9" s="1"/>
  <c r="B71" i="9"/>
  <c r="B74" i="9" s="1"/>
  <c r="E50" i="6"/>
  <c r="E8" i="6" s="1"/>
  <c r="E5" i="6" s="1"/>
  <c r="D29" i="6"/>
  <c r="D50" i="6" s="1"/>
  <c r="H20" i="8"/>
  <c r="I20" i="8" s="1"/>
  <c r="I4" i="8"/>
  <c r="H12" i="8"/>
  <c r="I12" i="8" s="1"/>
  <c r="H32" i="8"/>
  <c r="I32" i="8" s="1"/>
  <c r="H16" i="8"/>
  <c r="I16" i="8" s="1"/>
  <c r="H28" i="8"/>
  <c r="I28" i="8" s="1"/>
  <c r="H24" i="8"/>
  <c r="I24" i="8" s="1"/>
  <c r="D79" i="6"/>
  <c r="C52" i="6"/>
  <c r="D12" i="6"/>
  <c r="D59" i="6"/>
  <c r="D72" i="6"/>
  <c r="B71" i="6"/>
  <c r="B74" i="6" s="1"/>
  <c r="C71" i="6"/>
  <c r="B52" i="6"/>
  <c r="C68" i="6"/>
  <c r="E12" i="9" l="1"/>
  <c r="C80" i="9"/>
  <c r="D80" i="9" s="1"/>
  <c r="C78" i="9"/>
  <c r="D78" i="9" s="1"/>
  <c r="E5" i="9"/>
  <c r="D71" i="9"/>
  <c r="E12" i="6"/>
  <c r="E72" i="6"/>
  <c r="R5" i="8"/>
  <c r="H38" i="8"/>
  <c r="S5" i="8"/>
  <c r="Y5" i="8"/>
  <c r="X5" i="8"/>
  <c r="W5" i="8"/>
  <c r="V5" i="8"/>
  <c r="U5" i="8"/>
  <c r="AC5" i="8"/>
  <c r="AB5" i="8"/>
  <c r="AA5" i="8"/>
  <c r="Z5" i="8"/>
  <c r="T5" i="8"/>
  <c r="D52" i="6"/>
  <c r="D71" i="6"/>
  <c r="C74" i="6"/>
  <c r="E71" i="9" l="1"/>
  <c r="E74" i="9" s="1"/>
  <c r="E52" i="9"/>
  <c r="E1" i="4"/>
  <c r="E1" i="8"/>
  <c r="E52" i="6"/>
  <c r="C80" i="6"/>
  <c r="D80" i="6" s="1"/>
  <c r="C78" i="6"/>
  <c r="D78" i="6" s="1"/>
  <c r="L31" i="1"/>
  <c r="O60" i="1"/>
  <c r="C8" i="4"/>
  <c r="C28" i="4"/>
  <c r="B38" i="4"/>
  <c r="O42" i="1"/>
  <c r="O7" i="1" s="1"/>
  <c r="N55" i="1"/>
  <c r="N52" i="1"/>
  <c r="N33" i="1"/>
  <c r="N14" i="1"/>
  <c r="M58" i="1"/>
  <c r="M57" i="1"/>
  <c r="M50" i="1"/>
  <c r="M46" i="1"/>
  <c r="M37" i="1"/>
  <c r="M40" i="1" s="1"/>
  <c r="M41" i="1" s="1"/>
  <c r="L37" i="1"/>
  <c r="K37" i="1"/>
  <c r="J37" i="1"/>
  <c r="I37" i="1"/>
  <c r="M22" i="1"/>
  <c r="M20" i="1"/>
  <c r="M17" i="1"/>
  <c r="M7" i="1"/>
  <c r="M10" i="1" s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D56" i="1"/>
  <c r="N56" i="1" s="1"/>
  <c r="E54" i="1"/>
  <c r="D54" i="1"/>
  <c r="B54" i="1"/>
  <c r="B53" i="1"/>
  <c r="N53" i="1" s="1"/>
  <c r="L50" i="1"/>
  <c r="K50" i="1"/>
  <c r="J50" i="1"/>
  <c r="I50" i="1"/>
  <c r="H50" i="1"/>
  <c r="G50" i="1"/>
  <c r="F50" i="1"/>
  <c r="E50" i="1"/>
  <c r="D50" i="1"/>
  <c r="C50" i="1"/>
  <c r="B50" i="1"/>
  <c r="L49" i="1"/>
  <c r="N49" i="1" s="1"/>
  <c r="L48" i="1"/>
  <c r="K48" i="1"/>
  <c r="J48" i="1"/>
  <c r="I48" i="1"/>
  <c r="H48" i="1"/>
  <c r="G48" i="1"/>
  <c r="F48" i="1"/>
  <c r="E48" i="1"/>
  <c r="D48" i="1"/>
  <c r="C48" i="1"/>
  <c r="B48" i="1"/>
  <c r="L46" i="1"/>
  <c r="K46" i="1"/>
  <c r="J46" i="1"/>
  <c r="I46" i="1"/>
  <c r="H46" i="1"/>
  <c r="G46" i="1"/>
  <c r="F46" i="1"/>
  <c r="E46" i="1"/>
  <c r="D46" i="1"/>
  <c r="C46" i="1"/>
  <c r="B46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H38" i="1"/>
  <c r="G38" i="1"/>
  <c r="F38" i="1"/>
  <c r="B38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B34" i="1"/>
  <c r="K32" i="1"/>
  <c r="J32" i="1"/>
  <c r="I32" i="1"/>
  <c r="H32" i="1"/>
  <c r="G32" i="1"/>
  <c r="F32" i="1"/>
  <c r="B32" i="1"/>
  <c r="K31" i="1"/>
  <c r="J31" i="1"/>
  <c r="I31" i="1"/>
  <c r="H31" i="1"/>
  <c r="G31" i="1"/>
  <c r="F31" i="1"/>
  <c r="L30" i="1"/>
  <c r="J30" i="1"/>
  <c r="I30" i="1"/>
  <c r="G30" i="1"/>
  <c r="F30" i="1"/>
  <c r="E30" i="1"/>
  <c r="D30" i="1"/>
  <c r="C30" i="1"/>
  <c r="B30" i="1"/>
  <c r="L29" i="1"/>
  <c r="D29" i="1"/>
  <c r="C29" i="1"/>
  <c r="B29" i="1"/>
  <c r="J28" i="1"/>
  <c r="G28" i="1"/>
  <c r="D28" i="1"/>
  <c r="C24" i="1"/>
  <c r="N24" i="1" s="1"/>
  <c r="C23" i="1"/>
  <c r="N23" i="1" s="1"/>
  <c r="L22" i="1"/>
  <c r="K22" i="1"/>
  <c r="J22" i="1"/>
  <c r="I22" i="1"/>
  <c r="H22" i="1"/>
  <c r="G22" i="1"/>
  <c r="F22" i="1"/>
  <c r="E22" i="1"/>
  <c r="D22" i="1"/>
  <c r="C22" i="1"/>
  <c r="B22" i="1"/>
  <c r="C21" i="1"/>
  <c r="N21" i="1" s="1"/>
  <c r="L20" i="1"/>
  <c r="K20" i="1"/>
  <c r="J20" i="1"/>
  <c r="I20" i="1"/>
  <c r="H20" i="1"/>
  <c r="G20" i="1"/>
  <c r="F20" i="1"/>
  <c r="E20" i="1"/>
  <c r="D20" i="1"/>
  <c r="C20" i="1"/>
  <c r="B20" i="1"/>
  <c r="C19" i="1"/>
  <c r="N19" i="1" s="1"/>
  <c r="D18" i="1"/>
  <c r="C18" i="1"/>
  <c r="N18" i="1" s="1"/>
  <c r="L17" i="1"/>
  <c r="K17" i="1"/>
  <c r="J17" i="1"/>
  <c r="I17" i="1"/>
  <c r="H17" i="1"/>
  <c r="G17" i="1"/>
  <c r="F17" i="1"/>
  <c r="E17" i="1"/>
  <c r="D17" i="1"/>
  <c r="C17" i="1"/>
  <c r="B17" i="1"/>
  <c r="D16" i="1"/>
  <c r="N16" i="1" s="1"/>
  <c r="F15" i="1"/>
  <c r="N15" i="1" s="1"/>
  <c r="C13" i="1"/>
  <c r="N13" i="1" s="1"/>
  <c r="K9" i="1"/>
  <c r="I9" i="1"/>
  <c r="G9" i="1"/>
  <c r="F9" i="1"/>
  <c r="D9" i="1"/>
  <c r="B9" i="1"/>
  <c r="D8" i="1"/>
  <c r="C8" i="1"/>
  <c r="B8" i="1"/>
  <c r="L7" i="1"/>
  <c r="L10" i="1" s="1"/>
  <c r="K7" i="1"/>
  <c r="J7" i="1"/>
  <c r="J10" i="1" s="1"/>
  <c r="I7" i="1"/>
  <c r="H7" i="1"/>
  <c r="H10" i="1" s="1"/>
  <c r="G7" i="1"/>
  <c r="F7" i="1"/>
  <c r="E7" i="1"/>
  <c r="E10" i="1" s="1"/>
  <c r="D7" i="1"/>
  <c r="C7" i="1"/>
  <c r="B7" i="1"/>
  <c r="E4" i="4" l="1"/>
  <c r="K4" i="4" s="1"/>
  <c r="E15" i="4"/>
  <c r="E27" i="4"/>
  <c r="E16" i="4"/>
  <c r="E28" i="4"/>
  <c r="K28" i="4" s="1"/>
  <c r="L28" i="4" s="1"/>
  <c r="O28" i="4" s="1"/>
  <c r="E5" i="4"/>
  <c r="E17" i="4"/>
  <c r="E29" i="4"/>
  <c r="E6" i="4"/>
  <c r="E18" i="4"/>
  <c r="E30" i="4"/>
  <c r="E7" i="4"/>
  <c r="E19" i="4"/>
  <c r="E31" i="4"/>
  <c r="E8" i="4"/>
  <c r="E20" i="4"/>
  <c r="E32" i="4"/>
  <c r="E9" i="4"/>
  <c r="E21" i="4"/>
  <c r="E33" i="4"/>
  <c r="E10" i="4"/>
  <c r="E22" i="4"/>
  <c r="E34" i="4"/>
  <c r="E11" i="4"/>
  <c r="E23" i="4"/>
  <c r="E35" i="4"/>
  <c r="E12" i="4"/>
  <c r="K12" i="4" s="1"/>
  <c r="L12" i="4" s="1"/>
  <c r="O12" i="4" s="1"/>
  <c r="E24" i="4"/>
  <c r="E36" i="4"/>
  <c r="E13" i="4"/>
  <c r="F13" i="4" s="1"/>
  <c r="E25" i="4"/>
  <c r="E14" i="4"/>
  <c r="E26" i="4"/>
  <c r="E36" i="8"/>
  <c r="E27" i="8"/>
  <c r="E19" i="8"/>
  <c r="E11" i="8"/>
  <c r="E34" i="8"/>
  <c r="E31" i="8"/>
  <c r="E7" i="8"/>
  <c r="E13" i="8"/>
  <c r="E35" i="8"/>
  <c r="E26" i="8"/>
  <c r="E17" i="8"/>
  <c r="E15" i="8"/>
  <c r="E6" i="8"/>
  <c r="E21" i="8"/>
  <c r="E23" i="8"/>
  <c r="E25" i="8"/>
  <c r="E10" i="8"/>
  <c r="E14" i="8"/>
  <c r="E29" i="8"/>
  <c r="E5" i="8"/>
  <c r="E30" i="8"/>
  <c r="E9" i="8"/>
  <c r="E18" i="8"/>
  <c r="E33" i="8"/>
  <c r="E22" i="8"/>
  <c r="E4" i="8"/>
  <c r="E32" i="8"/>
  <c r="E8" i="8"/>
  <c r="E20" i="8"/>
  <c r="E24" i="8"/>
  <c r="E16" i="8"/>
  <c r="E12" i="8"/>
  <c r="E28" i="8"/>
  <c r="E71" i="6"/>
  <c r="E74" i="6" s="1"/>
  <c r="N29" i="1"/>
  <c r="M25" i="1"/>
  <c r="M42" i="1" s="1"/>
  <c r="M43" i="1" s="1"/>
  <c r="M51" i="1"/>
  <c r="M59" i="1"/>
  <c r="M60" i="1" s="1"/>
  <c r="M61" i="1" s="1"/>
  <c r="C40" i="1"/>
  <c r="N54" i="1"/>
  <c r="C59" i="1"/>
  <c r="C60" i="1" s="1"/>
  <c r="N17" i="1"/>
  <c r="G51" i="1"/>
  <c r="N20" i="1"/>
  <c r="H51" i="1"/>
  <c r="H61" i="1" s="1"/>
  <c r="I51" i="1"/>
  <c r="N50" i="1"/>
  <c r="N57" i="1"/>
  <c r="N28" i="1"/>
  <c r="N31" i="1"/>
  <c r="N30" i="1"/>
  <c r="J51" i="1"/>
  <c r="D40" i="1"/>
  <c r="D41" i="1" s="1"/>
  <c r="K51" i="1"/>
  <c r="L51" i="1"/>
  <c r="F40" i="1"/>
  <c r="B51" i="1"/>
  <c r="C51" i="1"/>
  <c r="L25" i="1"/>
  <c r="D25" i="1"/>
  <c r="N22" i="1"/>
  <c r="N32" i="1"/>
  <c r="L59" i="1"/>
  <c r="L60" i="1" s="1"/>
  <c r="L61" i="1" s="1"/>
  <c r="F41" i="1"/>
  <c r="N37" i="1"/>
  <c r="E40" i="1"/>
  <c r="E41" i="1" s="1"/>
  <c r="B10" i="1"/>
  <c r="G40" i="1"/>
  <c r="G41" i="1" s="1"/>
  <c r="N7" i="1"/>
  <c r="N36" i="1"/>
  <c r="H59" i="1"/>
  <c r="H60" i="1" s="1"/>
  <c r="I59" i="1"/>
  <c r="I60" i="1" s="1"/>
  <c r="J59" i="1"/>
  <c r="J60" i="1" s="1"/>
  <c r="K10" i="1"/>
  <c r="N46" i="1"/>
  <c r="K59" i="1"/>
  <c r="K60" i="1" s="1"/>
  <c r="B25" i="1"/>
  <c r="N35" i="1"/>
  <c r="N58" i="1"/>
  <c r="F10" i="1"/>
  <c r="J25" i="1"/>
  <c r="I61" i="1"/>
  <c r="I40" i="1"/>
  <c r="I41" i="1" s="1"/>
  <c r="L40" i="1"/>
  <c r="L41" i="1" s="1"/>
  <c r="I25" i="1"/>
  <c r="G10" i="1"/>
  <c r="I10" i="1"/>
  <c r="B59" i="1"/>
  <c r="J40" i="1"/>
  <c r="J41" i="1" s="1"/>
  <c r="K40" i="1"/>
  <c r="K41" i="1" s="1"/>
  <c r="K42" i="1" s="1"/>
  <c r="K43" i="1" s="1"/>
  <c r="E25" i="1"/>
  <c r="D51" i="1"/>
  <c r="G25" i="1"/>
  <c r="H25" i="1"/>
  <c r="N34" i="1"/>
  <c r="E59" i="1"/>
  <c r="E60" i="1" s="1"/>
  <c r="D59" i="1"/>
  <c r="D60" i="1" s="1"/>
  <c r="H40" i="1"/>
  <c r="H41" i="1" s="1"/>
  <c r="C10" i="1"/>
  <c r="E51" i="1"/>
  <c r="D10" i="1"/>
  <c r="F59" i="1"/>
  <c r="F60" i="1" s="1"/>
  <c r="K25" i="1"/>
  <c r="N8" i="1"/>
  <c r="B40" i="1"/>
  <c r="F51" i="1"/>
  <c r="F61" i="1" s="1"/>
  <c r="G59" i="1"/>
  <c r="G60" i="1" s="1"/>
  <c r="N48" i="1"/>
  <c r="C15" i="4"/>
  <c r="C35" i="4"/>
  <c r="C11" i="4"/>
  <c r="C31" i="4"/>
  <c r="C32" i="4"/>
  <c r="C4" i="4"/>
  <c r="C24" i="4"/>
  <c r="K24" i="4" s="1"/>
  <c r="C10" i="4"/>
  <c r="C33" i="4"/>
  <c r="C22" i="4"/>
  <c r="C20" i="4"/>
  <c r="C12" i="4"/>
  <c r="C9" i="4"/>
  <c r="C29" i="4"/>
  <c r="C18" i="4"/>
  <c r="C7" i="4"/>
  <c r="C27" i="4"/>
  <c r="C16" i="4"/>
  <c r="C36" i="4"/>
  <c r="C5" i="4"/>
  <c r="C25" i="4"/>
  <c r="C14" i="4"/>
  <c r="C34" i="4"/>
  <c r="C23" i="4"/>
  <c r="C21" i="4"/>
  <c r="C30" i="4"/>
  <c r="C19" i="4"/>
  <c r="C17" i="4"/>
  <c r="C26" i="4"/>
  <c r="C6" i="4"/>
  <c r="N6" i="1"/>
  <c r="F25" i="1"/>
  <c r="C41" i="1"/>
  <c r="C25" i="1"/>
  <c r="N9" i="1"/>
  <c r="K19" i="4" l="1"/>
  <c r="L19" i="4" s="1"/>
  <c r="O19" i="4" s="1"/>
  <c r="N12" i="4"/>
  <c r="K13" i="4"/>
  <c r="L13" i="4" s="1"/>
  <c r="O13" i="4" s="1"/>
  <c r="K10" i="4"/>
  <c r="L10" i="4" s="1"/>
  <c r="O10" i="4" s="1"/>
  <c r="K30" i="4"/>
  <c r="L30" i="4" s="1"/>
  <c r="O30" i="4" s="1"/>
  <c r="K29" i="4"/>
  <c r="N29" i="4" s="1"/>
  <c r="K9" i="4"/>
  <c r="L9" i="4" s="1"/>
  <c r="O9" i="4" s="1"/>
  <c r="F12" i="4"/>
  <c r="K20" i="4"/>
  <c r="L20" i="4" s="1"/>
  <c r="O20" i="4" s="1"/>
  <c r="N4" i="4"/>
  <c r="L4" i="4"/>
  <c r="O4" i="4" s="1"/>
  <c r="K33" i="4"/>
  <c r="L33" i="4" s="1"/>
  <c r="O33" i="4" s="1"/>
  <c r="F33" i="8"/>
  <c r="K33" i="8"/>
  <c r="K15" i="8"/>
  <c r="F15" i="8"/>
  <c r="F18" i="8"/>
  <c r="K18" i="8"/>
  <c r="F17" i="8"/>
  <c r="K17" i="8"/>
  <c r="F9" i="8"/>
  <c r="K9" i="8"/>
  <c r="K26" i="8"/>
  <c r="F26" i="8"/>
  <c r="K28" i="8"/>
  <c r="F28" i="8"/>
  <c r="K30" i="8"/>
  <c r="F30" i="8"/>
  <c r="F35" i="8"/>
  <c r="K35" i="8"/>
  <c r="F12" i="8"/>
  <c r="K12" i="8"/>
  <c r="F5" i="8"/>
  <c r="K5" i="8"/>
  <c r="F13" i="8"/>
  <c r="K13" i="8"/>
  <c r="K16" i="8"/>
  <c r="F16" i="8"/>
  <c r="F29" i="8"/>
  <c r="K29" i="8"/>
  <c r="K7" i="8"/>
  <c r="F7" i="8"/>
  <c r="F24" i="8"/>
  <c r="K24" i="8"/>
  <c r="K14" i="8"/>
  <c r="F14" i="8"/>
  <c r="K31" i="8"/>
  <c r="F31" i="8"/>
  <c r="K20" i="8"/>
  <c r="F20" i="8"/>
  <c r="K10" i="8"/>
  <c r="F10" i="8"/>
  <c r="F34" i="8"/>
  <c r="K34" i="8"/>
  <c r="K8" i="8"/>
  <c r="F8" i="8"/>
  <c r="K25" i="8"/>
  <c r="F25" i="8"/>
  <c r="K11" i="8"/>
  <c r="F11" i="8"/>
  <c r="F32" i="8"/>
  <c r="K32" i="8"/>
  <c r="K23" i="8"/>
  <c r="F23" i="8"/>
  <c r="K19" i="8"/>
  <c r="F19" i="8"/>
  <c r="E38" i="8"/>
  <c r="K4" i="8"/>
  <c r="F4" i="8"/>
  <c r="F21" i="8"/>
  <c r="K21" i="8"/>
  <c r="F27" i="8"/>
  <c r="K27" i="8"/>
  <c r="F22" i="8"/>
  <c r="K22" i="8"/>
  <c r="K6" i="8"/>
  <c r="F6" i="8"/>
  <c r="K36" i="8"/>
  <c r="F36" i="8"/>
  <c r="F36" i="4"/>
  <c r="K36" i="4"/>
  <c r="F26" i="4"/>
  <c r="K26" i="4"/>
  <c r="I8" i="4"/>
  <c r="K8" i="4"/>
  <c r="F18" i="4"/>
  <c r="K18" i="4"/>
  <c r="F34" i="4"/>
  <c r="K34" i="4"/>
  <c r="F16" i="4"/>
  <c r="K16" i="4"/>
  <c r="F27" i="4"/>
  <c r="K27" i="4"/>
  <c r="F17" i="4"/>
  <c r="K17" i="4"/>
  <c r="F35" i="4"/>
  <c r="K35" i="4"/>
  <c r="F15" i="4"/>
  <c r="K15" i="4"/>
  <c r="F23" i="4"/>
  <c r="K23" i="4"/>
  <c r="F14" i="4"/>
  <c r="K14" i="4"/>
  <c r="F22" i="4"/>
  <c r="K22" i="4"/>
  <c r="N28" i="4"/>
  <c r="F7" i="4"/>
  <c r="K7" i="4"/>
  <c r="F25" i="4"/>
  <c r="K25" i="4"/>
  <c r="N13" i="4"/>
  <c r="L24" i="4"/>
  <c r="O24" i="4" s="1"/>
  <c r="N24" i="4"/>
  <c r="F32" i="4"/>
  <c r="K32" i="4"/>
  <c r="F31" i="4"/>
  <c r="K31" i="4"/>
  <c r="F11" i="4"/>
  <c r="K11" i="4"/>
  <c r="F21" i="4"/>
  <c r="K21" i="4"/>
  <c r="F6" i="4"/>
  <c r="K6" i="4"/>
  <c r="F5" i="4"/>
  <c r="K5" i="4"/>
  <c r="C61" i="1"/>
  <c r="G61" i="1"/>
  <c r="J61" i="1"/>
  <c r="K61" i="1"/>
  <c r="F8" i="4"/>
  <c r="D61" i="1"/>
  <c r="J42" i="1"/>
  <c r="J43" i="1" s="1"/>
  <c r="N10" i="1"/>
  <c r="L42" i="1"/>
  <c r="L43" i="1" s="1"/>
  <c r="N40" i="1"/>
  <c r="D42" i="1"/>
  <c r="D43" i="1" s="1"/>
  <c r="N25" i="1"/>
  <c r="H42" i="1"/>
  <c r="H43" i="1" s="1"/>
  <c r="F42" i="1"/>
  <c r="F43" i="1" s="1"/>
  <c r="I42" i="1"/>
  <c r="I43" i="1" s="1"/>
  <c r="E42" i="1"/>
  <c r="E43" i="1" s="1"/>
  <c r="B41" i="1"/>
  <c r="N41" i="1" s="1"/>
  <c r="G42" i="1"/>
  <c r="G43" i="1" s="1"/>
  <c r="E61" i="1"/>
  <c r="N51" i="1"/>
  <c r="N59" i="1"/>
  <c r="B60" i="1"/>
  <c r="N60" i="1" s="1"/>
  <c r="I27" i="4"/>
  <c r="I31" i="4"/>
  <c r="I14" i="4"/>
  <c r="I28" i="4"/>
  <c r="F28" i="4"/>
  <c r="I35" i="4"/>
  <c r="I16" i="4"/>
  <c r="I15" i="4"/>
  <c r="I34" i="4"/>
  <c r="I25" i="4"/>
  <c r="I11" i="4"/>
  <c r="I5" i="4"/>
  <c r="F9" i="4"/>
  <c r="I9" i="4"/>
  <c r="F29" i="4"/>
  <c r="I29" i="4"/>
  <c r="F20" i="4"/>
  <c r="I20" i="4"/>
  <c r="F4" i="4"/>
  <c r="E38" i="4"/>
  <c r="F19" i="4"/>
  <c r="I19" i="4"/>
  <c r="I13" i="4"/>
  <c r="F24" i="4"/>
  <c r="I24" i="4"/>
  <c r="I18" i="4"/>
  <c r="F33" i="4"/>
  <c r="I33" i="4"/>
  <c r="I22" i="4"/>
  <c r="F10" i="4"/>
  <c r="I10" i="4"/>
  <c r="F30" i="4"/>
  <c r="I30" i="4"/>
  <c r="I36" i="4"/>
  <c r="I17" i="4"/>
  <c r="I6" i="4"/>
  <c r="I12" i="4"/>
  <c r="I21" i="4"/>
  <c r="I32" i="4"/>
  <c r="I26" i="4"/>
  <c r="I7" i="4"/>
  <c r="I23" i="4"/>
  <c r="C42" i="1"/>
  <c r="C43" i="1" s="1"/>
  <c r="N9" i="4" l="1"/>
  <c r="N10" i="4"/>
  <c r="N30" i="4"/>
  <c r="N20" i="4"/>
  <c r="N19" i="4"/>
  <c r="L29" i="4"/>
  <c r="O29" i="4" s="1"/>
  <c r="N33" i="4"/>
  <c r="L13" i="8"/>
  <c r="O13" i="8" s="1"/>
  <c r="N13" i="8"/>
  <c r="N21" i="8"/>
  <c r="L21" i="8"/>
  <c r="O21" i="8" s="1"/>
  <c r="N11" i="8"/>
  <c r="L11" i="8"/>
  <c r="O11" i="8" s="1"/>
  <c r="N31" i="8"/>
  <c r="L31" i="8"/>
  <c r="O31" i="8" s="1"/>
  <c r="R4" i="8"/>
  <c r="R8" i="8" s="1"/>
  <c r="L26" i="8"/>
  <c r="O26" i="8" s="1"/>
  <c r="N26" i="8"/>
  <c r="L5" i="8"/>
  <c r="O5" i="8" s="1"/>
  <c r="N5" i="8"/>
  <c r="L9" i="8"/>
  <c r="O9" i="8" s="1"/>
  <c r="N9" i="8"/>
  <c r="V4" i="8"/>
  <c r="V8" i="8" s="1"/>
  <c r="U4" i="8"/>
  <c r="U8" i="8" s="1"/>
  <c r="T4" i="8"/>
  <c r="T8" i="8" s="1"/>
  <c r="AC4" i="8"/>
  <c r="AC8" i="8" s="1"/>
  <c r="AA4" i="8"/>
  <c r="AA8" i="8" s="1"/>
  <c r="Z4" i="8"/>
  <c r="Z8" i="8" s="1"/>
  <c r="X4" i="8"/>
  <c r="X8" i="8" s="1"/>
  <c r="AB4" i="8"/>
  <c r="AB8" i="8" s="1"/>
  <c r="Y4" i="8"/>
  <c r="Y8" i="8" s="1"/>
  <c r="W4" i="8"/>
  <c r="W8" i="8" s="1"/>
  <c r="N25" i="8"/>
  <c r="L25" i="8"/>
  <c r="O25" i="8" s="1"/>
  <c r="L14" i="8"/>
  <c r="O14" i="8" s="1"/>
  <c r="N14" i="8"/>
  <c r="K38" i="8"/>
  <c r="L4" i="8"/>
  <c r="O4" i="8" s="1"/>
  <c r="N4" i="8"/>
  <c r="N24" i="8"/>
  <c r="L24" i="8"/>
  <c r="O24" i="8" s="1"/>
  <c r="L12" i="8"/>
  <c r="O12" i="8" s="1"/>
  <c r="N12" i="8"/>
  <c r="N17" i="8"/>
  <c r="L17" i="8"/>
  <c r="O17" i="8" s="1"/>
  <c r="L8" i="8"/>
  <c r="O8" i="8" s="1"/>
  <c r="N8" i="8"/>
  <c r="N36" i="8"/>
  <c r="L36" i="8"/>
  <c r="O36" i="8" s="1"/>
  <c r="L34" i="8"/>
  <c r="O34" i="8" s="1"/>
  <c r="N34" i="8"/>
  <c r="N35" i="8"/>
  <c r="L35" i="8"/>
  <c r="O35" i="8" s="1"/>
  <c r="L18" i="8"/>
  <c r="O18" i="8" s="1"/>
  <c r="N18" i="8"/>
  <c r="N19" i="8"/>
  <c r="L19" i="8"/>
  <c r="O19" i="8" s="1"/>
  <c r="N7" i="8"/>
  <c r="L7" i="8"/>
  <c r="O7" i="8" s="1"/>
  <c r="N6" i="8"/>
  <c r="L6" i="8"/>
  <c r="O6" i="8" s="1"/>
  <c r="N29" i="8"/>
  <c r="L29" i="8"/>
  <c r="O29" i="8" s="1"/>
  <c r="L22" i="8"/>
  <c r="O22" i="8" s="1"/>
  <c r="N22" i="8"/>
  <c r="N23" i="8"/>
  <c r="L23" i="8"/>
  <c r="O23" i="8" s="1"/>
  <c r="N10" i="8"/>
  <c r="L10" i="8"/>
  <c r="O10" i="8" s="1"/>
  <c r="L30" i="8"/>
  <c r="O30" i="8" s="1"/>
  <c r="N30" i="8"/>
  <c r="L15" i="8"/>
  <c r="O15" i="8" s="1"/>
  <c r="N15" i="8"/>
  <c r="L32" i="8"/>
  <c r="O32" i="8" s="1"/>
  <c r="N32" i="8"/>
  <c r="S4" i="8"/>
  <c r="S8" i="8" s="1"/>
  <c r="N33" i="8"/>
  <c r="L33" i="8"/>
  <c r="O33" i="8" s="1"/>
  <c r="N27" i="8"/>
  <c r="L27" i="8"/>
  <c r="O27" i="8" s="1"/>
  <c r="N20" i="8"/>
  <c r="L20" i="8"/>
  <c r="O20" i="8" s="1"/>
  <c r="N16" i="8"/>
  <c r="L16" i="8"/>
  <c r="O16" i="8" s="1"/>
  <c r="N28" i="8"/>
  <c r="L28" i="8"/>
  <c r="O28" i="8" s="1"/>
  <c r="L34" i="4"/>
  <c r="O34" i="4" s="1"/>
  <c r="N34" i="4"/>
  <c r="N11" i="4"/>
  <c r="L11" i="4"/>
  <c r="O11" i="4" s="1"/>
  <c r="L18" i="4"/>
  <c r="O18" i="4" s="1"/>
  <c r="N18" i="4"/>
  <c r="L8" i="4"/>
  <c r="O8" i="4" s="1"/>
  <c r="N8" i="4"/>
  <c r="L27" i="4"/>
  <c r="O27" i="4" s="1"/>
  <c r="N27" i="4"/>
  <c r="L26" i="4"/>
  <c r="O26" i="4" s="1"/>
  <c r="N26" i="4"/>
  <c r="N15" i="4"/>
  <c r="L15" i="4"/>
  <c r="O15" i="4" s="1"/>
  <c r="N7" i="4"/>
  <c r="L7" i="4"/>
  <c r="O7" i="4" s="1"/>
  <c r="L17" i="4"/>
  <c r="O17" i="4" s="1"/>
  <c r="N17" i="4"/>
  <c r="L22" i="4"/>
  <c r="O22" i="4" s="1"/>
  <c r="N22" i="4"/>
  <c r="L14" i="4"/>
  <c r="O14" i="4" s="1"/>
  <c r="N14" i="4"/>
  <c r="L23" i="4"/>
  <c r="O23" i="4" s="1"/>
  <c r="N23" i="4"/>
  <c r="L25" i="4"/>
  <c r="O25" i="4" s="1"/>
  <c r="N25" i="4"/>
  <c r="N35" i="4"/>
  <c r="L35" i="4"/>
  <c r="O35" i="4" s="1"/>
  <c r="L5" i="4"/>
  <c r="O5" i="4" s="1"/>
  <c r="K38" i="4"/>
  <c r="N5" i="4"/>
  <c r="N32" i="4"/>
  <c r="L32" i="4"/>
  <c r="O32" i="4" s="1"/>
  <c r="L16" i="4"/>
  <c r="O16" i="4" s="1"/>
  <c r="N16" i="4"/>
  <c r="N36" i="4"/>
  <c r="L36" i="4"/>
  <c r="O36" i="4" s="1"/>
  <c r="L31" i="4"/>
  <c r="O31" i="4" s="1"/>
  <c r="N31" i="4"/>
  <c r="L6" i="4"/>
  <c r="O6" i="4" s="1"/>
  <c r="N6" i="4"/>
  <c r="L21" i="4"/>
  <c r="O21" i="4" s="1"/>
  <c r="N21" i="4"/>
  <c r="B61" i="1"/>
  <c r="N61" i="1"/>
  <c r="B42" i="1"/>
  <c r="N42" i="1" s="1"/>
  <c r="X4" i="4"/>
  <c r="V4" i="4"/>
  <c r="AC4" i="4"/>
  <c r="W4" i="4"/>
  <c r="AB4" i="4"/>
  <c r="U4" i="4"/>
  <c r="T4" i="4"/>
  <c r="S4" i="4"/>
  <c r="AA4" i="4"/>
  <c r="Z4" i="4"/>
  <c r="Y4" i="4"/>
  <c r="R4" i="4"/>
  <c r="H38" i="4"/>
  <c r="O46" i="1" s="1"/>
  <c r="O51" i="1" s="1"/>
  <c r="O61" i="1" s="1"/>
  <c r="I4" i="4"/>
  <c r="R5" i="4" s="1"/>
  <c r="O43" i="1"/>
  <c r="R10" i="8" l="1"/>
  <c r="B43" i="1"/>
  <c r="N43" i="1" s="1"/>
  <c r="Y5" i="4"/>
  <c r="Y8" i="4" s="1"/>
  <c r="AC5" i="4"/>
  <c r="AC8" i="4" s="1"/>
  <c r="X5" i="4"/>
  <c r="X8" i="4" s="1"/>
  <c r="AB5" i="4"/>
  <c r="AB8" i="4" s="1"/>
  <c r="AA5" i="4"/>
  <c r="AA8" i="4" s="1"/>
  <c r="Z5" i="4"/>
  <c r="Z8" i="4" s="1"/>
  <c r="W5" i="4"/>
  <c r="W8" i="4" s="1"/>
  <c r="V5" i="4"/>
  <c r="V8" i="4" s="1"/>
  <c r="U5" i="4"/>
  <c r="U8" i="4" s="1"/>
  <c r="T5" i="4"/>
  <c r="T8" i="4" s="1"/>
  <c r="S5" i="4"/>
  <c r="S8" i="4" s="1"/>
  <c r="R8" i="4"/>
  <c r="R10" i="4" l="1"/>
</calcChain>
</file>

<file path=xl/sharedStrings.xml><?xml version="1.0" encoding="utf-8"?>
<sst xmlns="http://schemas.openxmlformats.org/spreadsheetml/2006/main" count="523" uniqueCount="365">
  <si>
    <t>Jul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</si>
  <si>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</si>
  <si>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</si>
  <si>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</si>
  <si>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</si>
  <si>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</si>
  <si>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</si>
  <si>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</si>
  <si>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</si>
  <si>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</si>
  <si>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</si>
  <si>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Income</t>
  </si>
  <si>
    <t xml:space="preserve">   Office Space Rental Income</t>
  </si>
  <si>
    <t xml:space="preserve">   Operating Dues Income</t>
  </si>
  <si>
    <t xml:space="preserve">   Operating Interest Earned</t>
  </si>
  <si>
    <t xml:space="preserve">   Parking Pass Income</t>
  </si>
  <si>
    <t>Total Income</t>
  </si>
  <si>
    <t>Expenses</t>
  </si>
  <si>
    <t xml:space="preserve">   Colorado  Income Tax Expense</t>
  </si>
  <si>
    <t xml:space="preserve">   General Overhead</t>
  </si>
  <si>
    <t xml:space="preserve">      Annual Meeting/Meals</t>
  </si>
  <si>
    <t xml:space="preserve">      Liability/Hazard Insurance</t>
  </si>
  <si>
    <t xml:space="preserve">      License/Fees/Permits</t>
  </si>
  <si>
    <t xml:space="preserve">      Merchant deposit fees</t>
  </si>
  <si>
    <t xml:space="preserve">      Office Supplies</t>
  </si>
  <si>
    <t xml:space="preserve">      Printing</t>
  </si>
  <si>
    <t xml:space="preserve">      Property Mgmt Fee</t>
  </si>
  <si>
    <t xml:space="preserve">      Reconciliation Discrepancies</t>
  </si>
  <si>
    <t xml:space="preserve">   Total General Overhead</t>
  </si>
  <si>
    <t xml:space="preserve">   Operating Expenses</t>
  </si>
  <si>
    <t xml:space="preserve">      Boiler</t>
  </si>
  <si>
    <t xml:space="preserve">      Landscaping</t>
  </si>
  <si>
    <t xml:space="preserve">      Repairs &amp; Maintenance</t>
  </si>
  <si>
    <t xml:space="preserve">      Shoveling</t>
  </si>
  <si>
    <t xml:space="preserve">      Snow Plowing</t>
  </si>
  <si>
    <t xml:space="preserve">      Utilities</t>
  </si>
  <si>
    <t xml:space="preserve">         Cable</t>
  </si>
  <si>
    <t xml:space="preserve">         Gas/Electric</t>
  </si>
  <si>
    <t xml:space="preserve">         internet</t>
  </si>
  <si>
    <t xml:space="preserve">         Sewer</t>
  </si>
  <si>
    <t xml:space="preserve">         Trash</t>
  </si>
  <si>
    <t xml:space="preserve">         Water</t>
  </si>
  <si>
    <t xml:space="preserve">      Total Utilities</t>
  </si>
  <si>
    <t xml:space="preserve">   Total Operating Expenses</t>
  </si>
  <si>
    <t>Total Expenses</t>
  </si>
  <si>
    <t>Net Operating Income</t>
  </si>
  <si>
    <t>Other Income</t>
  </si>
  <si>
    <t xml:space="preserve">   Reserve Dues Income</t>
  </si>
  <si>
    <t xml:space="preserve">   Reserve Interest Earned</t>
  </si>
  <si>
    <t xml:space="preserve">   Special Assessment</t>
  </si>
  <si>
    <t xml:space="preserve">   Unit 24 Rental Income</t>
  </si>
  <si>
    <t>Total Other Income</t>
  </si>
  <si>
    <t>Other Expenses</t>
  </si>
  <si>
    <t xml:space="preserve">   Remodel Expense</t>
  </si>
  <si>
    <t xml:space="preserve">   Reserve Expenses</t>
  </si>
  <si>
    <t xml:space="preserve">   Unit 124</t>
  </si>
  <si>
    <t xml:space="preserve">      Unit 124 Expenses</t>
  </si>
  <si>
    <t xml:space="preserve">      Unit 124 Mortgage payment</t>
  </si>
  <si>
    <t xml:space="preserve">      Unit 124 Property Taxes</t>
  </si>
  <si>
    <t xml:space="preserve">   Total Unit 124</t>
  </si>
  <si>
    <t>Total Other Expenses</t>
  </si>
  <si>
    <t>Net Other Income</t>
  </si>
  <si>
    <t>Tannhauser I Management Association</t>
  </si>
  <si>
    <t>Comments</t>
  </si>
  <si>
    <t>5% increase</t>
  </si>
  <si>
    <t>8% CPI adjustment</t>
  </si>
  <si>
    <t>Flat to PY</t>
  </si>
  <si>
    <t>Boiler Project under warranty</t>
  </si>
  <si>
    <t>Absorb Boiler spend</t>
  </si>
  <si>
    <t>sold unit</t>
  </si>
  <si>
    <t>Monthly</t>
  </si>
  <si>
    <t>Annual</t>
  </si>
  <si>
    <t>Operating Dues</t>
  </si>
  <si>
    <t>Reserve Dues</t>
  </si>
  <si>
    <t>Total Dues</t>
  </si>
  <si>
    <t>Difference</t>
  </si>
  <si>
    <t>Allocation %</t>
  </si>
  <si>
    <t>Unit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</si>
  <si>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</si>
  <si>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</si>
  <si>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</si>
  <si>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</si>
  <si>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</si>
  <si>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</si>
  <si>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</si>
  <si>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</si>
  <si>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</si>
  <si>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</si>
  <si>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</si>
  <si>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</si>
  <si>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Check Figure</t>
  </si>
  <si>
    <t>Dues Allocation by Unit</t>
  </si>
  <si>
    <t xml:space="preserve">      Accounting &amp; Tax</t>
  </si>
  <si>
    <t xml:space="preserve">      Legal Fees</t>
  </si>
  <si>
    <t>Cost of AppFolio transition included in management fee</t>
  </si>
  <si>
    <t>Proposed Budget 2023/2024</t>
  </si>
  <si>
    <t>Reclassed Special Assessment to new fiscal year to match Expense timing</t>
  </si>
  <si>
    <t xml:space="preserve">   Unit 124 Sale Proceeds</t>
  </si>
  <si>
    <t>Sale of Unit 124 9/15/2023</t>
  </si>
  <si>
    <t>Net Reserve Contribution</t>
  </si>
  <si>
    <t>Boiler Project + Finishing Expenses</t>
  </si>
  <si>
    <t>FYE 6/30/2023  Actuals</t>
  </si>
  <si>
    <t>July 2023 - June 2024 Board-Adopted Budget</t>
  </si>
  <si>
    <t>Account Name</t>
  </si>
  <si>
    <t>Jul 2023</t>
  </si>
  <si>
    <t>Aug 2023</t>
  </si>
  <si>
    <t>Sep 2023</t>
  </si>
  <si>
    <t>Oct 2023</t>
  </si>
  <si>
    <t>Nov 2023</t>
  </si>
  <si>
    <t>Dec 2023</t>
  </si>
  <si>
    <t>Jan 2024</t>
  </si>
  <si>
    <t>Feb 2024</t>
  </si>
  <si>
    <t>Mar 2024</t>
  </si>
  <si>
    <t>Apr 2024</t>
  </si>
  <si>
    <t>May 2024</t>
  </si>
  <si>
    <t>Jun 2024</t>
  </si>
  <si>
    <t>Total</t>
  </si>
  <si>
    <t>Operating Income &amp; Expense</t>
  </si>
  <si>
    <t xml:space="preserve">    Income</t>
  </si>
  <si>
    <t xml:space="preserve">        Income</t>
  </si>
  <si>
    <t xml:space="preserve">            HOA-Owned Real Estate Income</t>
  </si>
  <si>
    <t xml:space="preserve">            Rent Income</t>
  </si>
  <si>
    <t xml:space="preserve">            Operating Dues Income</t>
  </si>
  <si>
    <t xml:space="preserve">            Operating Interest Earned</t>
  </si>
  <si>
    <t xml:space="preserve">            Parking Pass Income</t>
  </si>
  <si>
    <t xml:space="preserve">        Total Income</t>
  </si>
  <si>
    <t xml:space="preserve">    Total Operating Income</t>
  </si>
  <si>
    <t xml:space="preserve">    Expense</t>
  </si>
  <si>
    <t xml:space="preserve">        Operations</t>
  </si>
  <si>
    <t xml:space="preserve">            HOA-Owned Real Estate Expenses</t>
  </si>
  <si>
    <t xml:space="preserve">                RE Loan Interest</t>
  </si>
  <si>
    <t xml:space="preserve">                RE Property Tax</t>
  </si>
  <si>
    <t xml:space="preserve">                RE Sale Fees</t>
  </si>
  <si>
    <t xml:space="preserve">            Total HOA-Owned Real Estate Expenses</t>
  </si>
  <si>
    <t xml:space="preserve">            Repairs &amp; Maintenance</t>
  </si>
  <si>
    <t xml:space="preserve">                Roof Repair &amp; Maint</t>
  </si>
  <si>
    <t xml:space="preserve">                Boiler Repair &amp; Maint</t>
  </si>
  <si>
    <t xml:space="preserve">                Repairs &amp; Maintenance - General</t>
  </si>
  <si>
    <t xml:space="preserve">            Total Repairs &amp; Maintenance</t>
  </si>
  <si>
    <t xml:space="preserve">            Safety &amp; Security</t>
  </si>
  <si>
    <t xml:space="preserve">                Fire System Monitoring</t>
  </si>
  <si>
    <t xml:space="preserve">            Total Safety &amp; Security</t>
  </si>
  <si>
    <t xml:space="preserve">            Grounds &amp; Landscaping</t>
  </si>
  <si>
    <t xml:space="preserve">                Grounds &amp; Landscaping - General</t>
  </si>
  <si>
    <t xml:space="preserve">            Total Grounds &amp; Landscaping</t>
  </si>
  <si>
    <t xml:space="preserve">            Snow Removal</t>
  </si>
  <si>
    <t xml:space="preserve">                Snow Plowing</t>
  </si>
  <si>
    <t xml:space="preserve">                Snow Shoveling</t>
  </si>
  <si>
    <t xml:space="preserve">                Roof Snow Removal</t>
  </si>
  <si>
    <t xml:space="preserve">                Snow Hauling</t>
  </si>
  <si>
    <t xml:space="preserve">            Total Snow Removal</t>
  </si>
  <si>
    <t xml:space="preserve">            Utilities</t>
  </si>
  <si>
    <t xml:space="preserve">                Electricity</t>
  </si>
  <si>
    <t xml:space="preserve">                Gas</t>
  </si>
  <si>
    <t xml:space="preserve">                Internet</t>
  </si>
  <si>
    <t xml:space="preserve">                Cable TV</t>
  </si>
  <si>
    <t xml:space="preserve">                Trash</t>
  </si>
  <si>
    <t xml:space="preserve">                Water</t>
  </si>
  <si>
    <t xml:space="preserve">                Sewer</t>
  </si>
  <si>
    <t xml:space="preserve">            Total Utilities</t>
  </si>
  <si>
    <t xml:space="preserve">        Total Operations</t>
  </si>
  <si>
    <t xml:space="preserve">        General &amp; Administrative</t>
  </si>
  <si>
    <t xml:space="preserve">            Accounting &amp; Tax</t>
  </si>
  <si>
    <t xml:space="preserve">                Accounting</t>
  </si>
  <si>
    <t xml:space="preserve">                Tax Expense</t>
  </si>
  <si>
    <t xml:space="preserve">                Bank Charges</t>
  </si>
  <si>
    <t xml:space="preserve">            Total Accounting &amp; Tax</t>
  </si>
  <si>
    <t xml:space="preserve">            Insurance</t>
  </si>
  <si>
    <t xml:space="preserve">                General Liability Insurance</t>
  </si>
  <si>
    <t xml:space="preserve">                Insurance - Other</t>
  </si>
  <si>
    <t xml:space="preserve">            Total Insurance</t>
  </si>
  <si>
    <t xml:space="preserve">            Professional Fees</t>
  </si>
  <si>
    <t xml:space="preserve">                Management Fees</t>
  </si>
  <si>
    <t xml:space="preserve">                Legal Fees</t>
  </si>
  <si>
    <t xml:space="preserve">            Total Professional Fees</t>
  </si>
  <si>
    <t xml:space="preserve">            Administrative</t>
  </si>
  <si>
    <t xml:space="preserve">                Administrative - General</t>
  </si>
  <si>
    <t xml:space="preserve">                Meeting Expense</t>
  </si>
  <si>
    <t xml:space="preserve">                Website</t>
  </si>
  <si>
    <t xml:space="preserve">                Registration Fees</t>
  </si>
  <si>
    <t xml:space="preserve">            Total Administrative</t>
  </si>
  <si>
    <t xml:space="preserve">            Adjustments/Penalties</t>
  </si>
  <si>
    <t xml:space="preserve">            Reconciliation Discrepancies</t>
  </si>
  <si>
    <t xml:space="preserve">        Total General &amp; Administrative</t>
  </si>
  <si>
    <t xml:space="preserve">    Total Operating Expense</t>
  </si>
  <si>
    <t>Proposed 2025 Budget</t>
  </si>
  <si>
    <t>2023-24 Budget</t>
  </si>
  <si>
    <t>2024-25 DRAFT Budget</t>
  </si>
  <si>
    <t>Operating Income</t>
  </si>
  <si>
    <t>Total Operating Income</t>
  </si>
  <si>
    <t xml:space="preserve">Operating Expense </t>
  </si>
  <si>
    <t>Roof Repair &amp; Maint</t>
  </si>
  <si>
    <t>Repairs &amp; Maintenance - General</t>
  </si>
  <si>
    <t>Fire System Monitoring</t>
  </si>
  <si>
    <t>Grounds &amp; Landscaping - General</t>
  </si>
  <si>
    <t>Snow Plowing</t>
  </si>
  <si>
    <t>Snow Hauling</t>
  </si>
  <si>
    <t>Roof Snow Removal</t>
  </si>
  <si>
    <t>Electricity</t>
  </si>
  <si>
    <t>Gas</t>
  </si>
  <si>
    <t>Internet</t>
  </si>
  <si>
    <t>Trash</t>
  </si>
  <si>
    <t>Water</t>
  </si>
  <si>
    <t>Sewer</t>
  </si>
  <si>
    <t>Accounting</t>
  </si>
  <si>
    <t>Bank Charges</t>
  </si>
  <si>
    <t>Management Fees</t>
  </si>
  <si>
    <t>Legal Fees</t>
  </si>
  <si>
    <t>Administrative - General</t>
  </si>
  <si>
    <t>Registration Fees</t>
  </si>
  <si>
    <t>Total Operating Expense</t>
  </si>
  <si>
    <t>Reserve Income</t>
  </si>
  <si>
    <t>Total Reserve Income</t>
  </si>
  <si>
    <t xml:space="preserve">Reserve Expense </t>
  </si>
  <si>
    <t>Total Reserve Expense</t>
  </si>
  <si>
    <t>Net Reserve Income</t>
  </si>
  <si>
    <t xml:space="preserve">    Total Income</t>
  </si>
  <si>
    <t xml:space="preserve">    Total Expense</t>
  </si>
  <si>
    <t>Total Net Income</t>
  </si>
  <si>
    <t>Total Increase</t>
  </si>
  <si>
    <t xml:space="preserve">Reserve Dues  </t>
  </si>
  <si>
    <t>MTD Actual</t>
  </si>
  <si>
    <t>MTD Budget</t>
  </si>
  <si>
    <t>MTD $ Var.</t>
  </si>
  <si>
    <t>MTD % Var.</t>
  </si>
  <si>
    <t>YTD Actual</t>
  </si>
  <si>
    <t>YTD Budget</t>
  </si>
  <si>
    <t>YTD $ Var.</t>
  </si>
  <si>
    <t>YTD % Var.</t>
  </si>
  <si>
    <t>Annual Budget</t>
  </si>
  <si>
    <t xml:space="preserve">        HOA-Owned Real Estate Income</t>
  </si>
  <si>
    <t xml:space="preserve">        Rent Income</t>
  </si>
  <si>
    <t xml:space="preserve">        Operating Dues Income</t>
  </si>
  <si>
    <t xml:space="preserve">        Operating Interest Earned</t>
  </si>
  <si>
    <t xml:space="preserve">        Parking Pass Income</t>
  </si>
  <si>
    <t>Expense</t>
  </si>
  <si>
    <t xml:space="preserve">    Operations</t>
  </si>
  <si>
    <t xml:space="preserve">        HOA-Owned Real Estate Expenses</t>
  </si>
  <si>
    <t xml:space="preserve">            RE Loan Interest</t>
  </si>
  <si>
    <t xml:space="preserve">            RE Property Tax</t>
  </si>
  <si>
    <t xml:space="preserve">            RE Sale Fees</t>
  </si>
  <si>
    <t xml:space="preserve">        Total HOA-Owned Real Estate Expenses</t>
  </si>
  <si>
    <t xml:space="preserve">        Repairs &amp; Maintenance</t>
  </si>
  <si>
    <t xml:space="preserve">            Roof Repair &amp; Maint</t>
  </si>
  <si>
    <t xml:space="preserve">            Boiler Repair &amp; Maint</t>
  </si>
  <si>
    <t xml:space="preserve">            Repairs &amp; Maintenance - General</t>
  </si>
  <si>
    <t xml:space="preserve">        Total Repairs &amp; Maintenance</t>
  </si>
  <si>
    <t xml:space="preserve">        Safety &amp; Security</t>
  </si>
  <si>
    <t xml:space="preserve">            Fire System Monitoring</t>
  </si>
  <si>
    <t xml:space="preserve">        Total Safety &amp; Security</t>
  </si>
  <si>
    <t xml:space="preserve">        Grounds &amp; Landscaping</t>
  </si>
  <si>
    <t xml:space="preserve">            Grounds &amp; Landscaping - General</t>
  </si>
  <si>
    <t xml:space="preserve">        Total Grounds &amp; Landscaping</t>
  </si>
  <si>
    <t xml:space="preserve">        Snow Removal</t>
  </si>
  <si>
    <t xml:space="preserve">            Snow Plowing</t>
  </si>
  <si>
    <t xml:space="preserve">            Snow Shoveling</t>
  </si>
  <si>
    <t xml:space="preserve">            Roof Snow Removal</t>
  </si>
  <si>
    <t xml:space="preserve">            Snow Hauling</t>
  </si>
  <si>
    <t xml:space="preserve">        Total Snow Removal</t>
  </si>
  <si>
    <t xml:space="preserve">        Utilities</t>
  </si>
  <si>
    <t xml:space="preserve">            Electricity</t>
  </si>
  <si>
    <t xml:space="preserve">            Gas</t>
  </si>
  <si>
    <t xml:space="preserve">            Internet</t>
  </si>
  <si>
    <t xml:space="preserve">            Cable TV</t>
  </si>
  <si>
    <t xml:space="preserve">            Trash</t>
  </si>
  <si>
    <t xml:space="preserve">            Water</t>
  </si>
  <si>
    <t xml:space="preserve">            Sewer</t>
  </si>
  <si>
    <t xml:space="preserve">        Total Utilities</t>
  </si>
  <si>
    <t xml:space="preserve">    Total Operations</t>
  </si>
  <si>
    <t xml:space="preserve">    General &amp; Administrative</t>
  </si>
  <si>
    <t xml:space="preserve">        Accounting &amp; Tax</t>
  </si>
  <si>
    <t xml:space="preserve">            Accounting</t>
  </si>
  <si>
    <t xml:space="preserve">            Tax Expense</t>
  </si>
  <si>
    <t xml:space="preserve">            Bank Charges</t>
  </si>
  <si>
    <t xml:space="preserve">        Total Accounting &amp; Tax</t>
  </si>
  <si>
    <t xml:space="preserve">        Insurance</t>
  </si>
  <si>
    <t xml:space="preserve">            General Liability Insurance</t>
  </si>
  <si>
    <t xml:space="preserve">            Insurance - Other</t>
  </si>
  <si>
    <t xml:space="preserve">        Total Insurance</t>
  </si>
  <si>
    <t xml:space="preserve">        Professional Fees</t>
  </si>
  <si>
    <t xml:space="preserve">            Management Fees</t>
  </si>
  <si>
    <t xml:space="preserve">            Legal Fees</t>
  </si>
  <si>
    <t xml:space="preserve">        Total Professional Fees</t>
  </si>
  <si>
    <t xml:space="preserve">        Administrative</t>
  </si>
  <si>
    <t xml:space="preserve">            Administrative - General</t>
  </si>
  <si>
    <t xml:space="preserve">            Meeting Expense</t>
  </si>
  <si>
    <t xml:space="preserve">            Website</t>
  </si>
  <si>
    <t xml:space="preserve">            Registration Fees</t>
  </si>
  <si>
    <t xml:space="preserve">        Total Administrative</t>
  </si>
  <si>
    <t xml:space="preserve">        Adjustments/Penalties</t>
  </si>
  <si>
    <t xml:space="preserve">        Reconciliation Discrepancies</t>
  </si>
  <si>
    <t xml:space="preserve">    Total General &amp; Administrative</t>
  </si>
  <si>
    <t>NOI - Net Operating Income</t>
  </si>
  <si>
    <t xml:space="preserve">    Other Income</t>
  </si>
  <si>
    <t xml:space="preserve">        Reserve Income - Special Assessment  </t>
  </si>
  <si>
    <t xml:space="preserve">        Reserve Dues Income</t>
  </si>
  <si>
    <t xml:space="preserve">        Reserve Interest Earned</t>
  </si>
  <si>
    <t xml:space="preserve">    Total Other Income</t>
  </si>
  <si>
    <t>Other Expense</t>
  </si>
  <si>
    <t xml:space="preserve">    Other Expense</t>
  </si>
  <si>
    <t xml:space="preserve">        Reserve Expenses</t>
  </si>
  <si>
    <t xml:space="preserve">    Total Other Expense</t>
  </si>
  <si>
    <t>Total Other Expense</t>
  </si>
  <si>
    <t>Total Expense</t>
  </si>
  <si>
    <t>Net Income</t>
  </si>
  <si>
    <t>Boiler Repair &amp; Maint</t>
  </si>
  <si>
    <t>Cable TV</t>
  </si>
  <si>
    <t>General Liability Insurance</t>
  </si>
  <si>
    <t>RE Loan Interest</t>
  </si>
  <si>
    <t>RE Property Tax</t>
  </si>
  <si>
    <t>RE Sale Fees</t>
  </si>
  <si>
    <t>Snow Shoveling</t>
  </si>
  <si>
    <t>Tax Expense</t>
  </si>
  <si>
    <t>Meeting Expense</t>
  </si>
  <si>
    <t>Website</t>
  </si>
  <si>
    <t>Adjustments/Penalties</t>
  </si>
  <si>
    <t>Reconciliation Discrepencies</t>
  </si>
  <si>
    <t>Tannhauser Management Association</t>
  </si>
  <si>
    <t xml:space="preserve">    NOI - Net Operating Income</t>
  </si>
  <si>
    <t>Other Income &amp; Expense</t>
  </si>
  <si>
    <t xml:space="preserve">        Other Income</t>
  </si>
  <si>
    <t xml:space="preserve">            Reserve Income - Special Assessment  </t>
  </si>
  <si>
    <t xml:space="preserve">            Reserve Dues Income</t>
  </si>
  <si>
    <t xml:space="preserve">            Reserve Interest Earned</t>
  </si>
  <si>
    <t xml:space="preserve">        Total Other Income</t>
  </si>
  <si>
    <t xml:space="preserve">        Other Expense</t>
  </si>
  <si>
    <t xml:space="preserve">            Reserve Expenses</t>
  </si>
  <si>
    <t xml:space="preserve">        Total Other Expense</t>
  </si>
  <si>
    <t xml:space="preserve">    Net Other Income</t>
  </si>
  <si>
    <t xml:space="preserve">    Net Income</t>
  </si>
  <si>
    <t>PY 2023-2024</t>
  </si>
  <si>
    <t>5% of actuals</t>
  </si>
  <si>
    <t>RE Loan Note Payable</t>
  </si>
  <si>
    <t>Reserve Income - Special Assessment</t>
  </si>
  <si>
    <t>Reserve Dues Income</t>
  </si>
  <si>
    <t>Reserve Interest Earned</t>
  </si>
  <si>
    <t>Boiler Contracts &amp; Fees</t>
  </si>
  <si>
    <t>To be renamed in AF</t>
  </si>
  <si>
    <t>Insurance - Other (Umbrella)</t>
  </si>
  <si>
    <t>Current CPI as of 6/11/24 is March 2024 = 2.8%, Normal practice is to increase on CPI may change for 24-25</t>
  </si>
  <si>
    <t>3% of actuals</t>
  </si>
  <si>
    <t>Combine Admin and Meeting Expense</t>
  </si>
  <si>
    <t xml:space="preserve">5% of actuals </t>
  </si>
  <si>
    <t xml:space="preserve">Flat to budget </t>
  </si>
  <si>
    <t>Annual inspection &amp; gutter cleans</t>
  </si>
  <si>
    <t>Boiler Upgrades</t>
  </si>
  <si>
    <t>Mech Room Construction</t>
  </si>
  <si>
    <t xml:space="preserve">Laundry Room </t>
  </si>
  <si>
    <t>Landscaping Improvements</t>
  </si>
  <si>
    <t>flat to budget</t>
  </si>
  <si>
    <t>2023-2024</t>
  </si>
  <si>
    <t>2024-2025</t>
  </si>
  <si>
    <t xml:space="preserve"> </t>
  </si>
  <si>
    <t xml:space="preserve">$12,568.27 plumbing related repairs in 2020/21; $11,356.01 plumbing related repairs in 2021/22; $2,667.29 in 2022/23 - $2,250 fireplace inspections in 2020 (last time) </t>
  </si>
  <si>
    <t>Flat to budget (possible  adjustment needed - recyling changes could increase this in 2025)</t>
  </si>
  <si>
    <t>20% increase - carrier is seeign anywhere from 18% to 30% across the region</t>
  </si>
  <si>
    <t>Laundry Income</t>
  </si>
  <si>
    <t>2023-24  Year-end Actuals</t>
  </si>
  <si>
    <t xml:space="preserve"> 2023-24 Actuals to Budget Var. </t>
  </si>
  <si>
    <t>Quickbooks $92.25 /month when dropped = $1,107 annual</t>
  </si>
  <si>
    <t>AssociationVoice write off</t>
  </si>
  <si>
    <t>Less RE Expense + Sale Tax</t>
  </si>
  <si>
    <t>NOI Less Real Estate</t>
  </si>
  <si>
    <t>Approved 2025 Budget</t>
  </si>
  <si>
    <t>2024-25       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</si>
</sst>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#,##0.00\ _€"/>
    <numFmt numFmtId="165" formatCode="&quot;$&quot;* #,##0.00\ _€"/>
    <numFmt numFmtId="166" formatCode="#,##0.00;[Red]\-#,##0.00"/>
    <numFmt numFmtId="167" formatCode="_(&quot;$&quot;* #,##0_);_(&quot;$&quot;* \(#,##0\);_(&quot;$&quot;* &quot;-&quot;??_);_(@_)"/>
    <numFmt numFmtId="168" formatCode="0.0%"/>
    <numFmt numFmtId="169" formatCode="#,##0.00\%;[Red]\-#,##0.00\%"/>
  </numFmts>
  <fonts count="2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Times New Roman"/>
      <family val="1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6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13"/>
      <color rgb="FF303030"/>
      <name val="Arial"/>
      <family val="1"/>
    </font>
    <font>
      <b/>
      <sz val="12"/>
      <color rgb="FF303030"/>
      <name val="Arial"/>
      <family val="1"/>
    </font>
    <font>
      <sz val="12"/>
      <color rgb="FF303030"/>
      <name val="Arial"/>
      <family val="1"/>
    </font>
    <font>
      <b/>
      <sz val="16"/>
      <color indexed="8"/>
      <name val="Aptos"/>
      <family val="2"/>
    </font>
    <font>
      <b/>
      <sz val="14"/>
      <color rgb="FF000000"/>
      <name val="Aptos Display"/>
      <family val="2"/>
    </font>
    <font>
      <sz val="11"/>
      <color theme="1"/>
      <name val="Arial"/>
      <family val="2"/>
    </font>
    <font>
      <b/>
      <sz val="11"/>
      <color rgb="FF303030"/>
      <name val="Arial"/>
      <family val="2"/>
    </font>
    <font>
      <b/>
      <sz val="11"/>
      <color theme="1"/>
      <name val="Arial"/>
      <family val="2"/>
    </font>
    <font>
      <sz val="11"/>
      <color rgb="FF303030"/>
      <name val="Arial"/>
      <family val="2"/>
    </font>
    <font>
      <sz val="12"/>
      <color rgb="FF303030"/>
      <name val="Arial"/>
      <family val="2"/>
    </font>
    <font>
      <sz val="11"/>
      <color rgb="FF303030"/>
      <name val="Arial"/>
      <family val="1"/>
    </font>
    <font>
      <sz val="11"/>
      <color rgb="FF303030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/>
      <top style="thin">
        <color rgb="FF30303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/>
      <top style="medium">
        <color rgb="FF30303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 style="double">
        <color rgb="FF000000"/>
      </bottom>
      <diagonal/>
    </border>
  </borders>
  <cellStyleXfs count="6">
    <xf numFmtId="0" fontId="0" fillId="0" borderId="0"/>
    <xf numFmtId="0" fontId="2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44" fontId="10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44" fontId="0" fillId="0" borderId="0" xfId="0" applyNumberFormat="1"/>
    <xf numFmtId="0" fontId="2" fillId="0" borderId="0" xfId="1"/>
    <xf numFmtId="44" fontId="0" fillId="0" borderId="0" xfId="2" applyFont="1"/>
    <xf numFmtId="0" fontId="3" fillId="0" borderId="0" xfId="1" applyFont="1"/>
    <xf numFmtId="44" fontId="3" fillId="0" borderId="0" xfId="2" applyFont="1"/>
    <xf numFmtId="44" fontId="2" fillId="0" borderId="0" xfId="1" applyNumberFormat="1"/>
    <xf numFmtId="10" fontId="0" fillId="0" borderId="0" xfId="3" applyNumberFormat="1" applyFont="1"/>
    <xf numFmtId="0" fontId="3" fillId="0" borderId="0" xfId="1" applyFont="1" applyAlignment="1">
      <alignment horizontal="center"/>
    </xf>
    <xf numFmtId="165" fontId="8" fillId="0" borderId="2" xfId="0" applyNumberFormat="1" applyFont="1" applyBorder="1" applyAlignment="1">
      <alignment horizontal="right" wrapText="1"/>
    </xf>
    <xf numFmtId="165" fontId="8" fillId="2" borderId="2" xfId="0" applyNumberFormat="1" applyFont="1" applyFill="1" applyBorder="1" applyAlignment="1">
      <alignment horizontal="right" wrapText="1"/>
    </xf>
    <xf numFmtId="165" fontId="8" fillId="0" borderId="0" xfId="0" applyNumberFormat="1" applyFont="1" applyAlignment="1">
      <alignment horizontal="right" wrapText="1"/>
    </xf>
    <xf numFmtId="165" fontId="8" fillId="2" borderId="0" xfId="0" applyNumberFormat="1" applyFont="1" applyFill="1" applyAlignment="1">
      <alignment horizontal="right" wrapText="1"/>
    </xf>
    <xf numFmtId="165" fontId="8" fillId="0" borderId="3" xfId="0" applyNumberFormat="1" applyFont="1" applyBorder="1" applyAlignment="1">
      <alignment horizontal="right" wrapText="1"/>
    </xf>
    <xf numFmtId="165" fontId="8" fillId="2" borderId="3" xfId="0" applyNumberFormat="1" applyFont="1" applyFill="1" applyBorder="1" applyAlignment="1">
      <alignment horizontal="right" wrapText="1"/>
    </xf>
    <xf numFmtId="0" fontId="7" fillId="0" borderId="0" xfId="0" applyFont="1"/>
    <xf numFmtId="164" fontId="7" fillId="0" borderId="0" xfId="0" applyNumberFormat="1" applyFont="1" applyAlignment="1">
      <alignment wrapText="1"/>
    </xf>
    <xf numFmtId="164" fontId="7" fillId="2" borderId="0" xfId="0" applyNumberFormat="1" applyFont="1" applyFill="1" applyAlignment="1">
      <alignment wrapText="1"/>
    </xf>
    <xf numFmtId="164" fontId="7" fillId="0" borderId="0" xfId="0" applyNumberFormat="1" applyFont="1" applyAlignment="1">
      <alignment horizontal="right" wrapText="1"/>
    </xf>
    <xf numFmtId="164" fontId="7" fillId="2" borderId="0" xfId="0" applyNumberFormat="1" applyFont="1" applyFill="1" applyAlignment="1">
      <alignment horizontal="right" wrapText="1"/>
    </xf>
    <xf numFmtId="165" fontId="8" fillId="0" borderId="4" xfId="0" applyNumberFormat="1" applyFont="1" applyBorder="1" applyAlignment="1">
      <alignment horizontal="right" wrapText="1"/>
    </xf>
    <xf numFmtId="0" fontId="7" fillId="0" borderId="9" xfId="0" applyFont="1" applyBorder="1" applyAlignment="1">
      <alignment wrapText="1"/>
    </xf>
    <xf numFmtId="165" fontId="8" fillId="2" borderId="4" xfId="0" applyNumberFormat="1" applyFont="1" applyFill="1" applyBorder="1" applyAlignment="1">
      <alignment horizontal="right" wrapText="1"/>
    </xf>
    <xf numFmtId="0" fontId="7" fillId="0" borderId="1" xfId="0" applyFont="1" applyBorder="1"/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7" fontId="8" fillId="2" borderId="4" xfId="0" applyNumberFormat="1" applyFont="1" applyFill="1" applyBorder="1" applyAlignment="1">
      <alignment horizontal="center" wrapText="1"/>
    </xf>
    <xf numFmtId="0" fontId="8" fillId="0" borderId="4" xfId="0" applyFont="1" applyBorder="1" applyAlignment="1">
      <alignment horizontal="center"/>
    </xf>
    <xf numFmtId="0" fontId="8" fillId="0" borderId="12" xfId="0" applyFont="1" applyBorder="1" applyAlignment="1">
      <alignment horizontal="center" wrapText="1"/>
    </xf>
    <xf numFmtId="44" fontId="8" fillId="5" borderId="5" xfId="0" applyNumberFormat="1" applyFont="1" applyFill="1" applyBorder="1" applyAlignment="1">
      <alignment horizontal="center" wrapText="1"/>
    </xf>
    <xf numFmtId="44" fontId="7" fillId="5" borderId="13" xfId="0" applyNumberFormat="1" applyFont="1" applyFill="1" applyBorder="1"/>
    <xf numFmtId="44" fontId="7" fillId="5" borderId="5" xfId="0" applyNumberFormat="1" applyFont="1" applyFill="1" applyBorder="1"/>
    <xf numFmtId="44" fontId="8" fillId="5" borderId="5" xfId="0" applyNumberFormat="1" applyFont="1" applyFill="1" applyBorder="1"/>
    <xf numFmtId="0" fontId="7" fillId="0" borderId="8" xfId="0" applyFont="1" applyBorder="1"/>
    <xf numFmtId="165" fontId="8" fillId="0" borderId="11" xfId="0" applyNumberFormat="1" applyFont="1" applyBorder="1" applyAlignment="1">
      <alignment horizontal="right" wrapText="1"/>
    </xf>
    <xf numFmtId="0" fontId="8" fillId="0" borderId="13" xfId="0" applyFont="1" applyBorder="1" applyAlignment="1">
      <alignment horizontal="left" wrapText="1"/>
    </xf>
    <xf numFmtId="0" fontId="8" fillId="0" borderId="14" xfId="0" applyFont="1" applyBorder="1" applyAlignment="1">
      <alignment horizontal="left" wrapText="1"/>
    </xf>
    <xf numFmtId="0" fontId="7" fillId="0" borderId="13" xfId="0" applyFont="1" applyBorder="1" applyAlignment="1">
      <alignment horizontal="left" wrapText="1"/>
    </xf>
    <xf numFmtId="0" fontId="8" fillId="0" borderId="15" xfId="0" applyFont="1" applyBorder="1" applyAlignment="1">
      <alignment horizontal="left" wrapText="1"/>
    </xf>
    <xf numFmtId="0" fontId="11" fillId="6" borderId="16" xfId="0" applyFont="1" applyFill="1" applyBorder="1" applyAlignment="1">
      <alignment horizontal="left"/>
    </xf>
    <xf numFmtId="0" fontId="12" fillId="0" borderId="0" xfId="0" applyFont="1"/>
    <xf numFmtId="166" fontId="12" fillId="0" borderId="0" xfId="0" applyNumberFormat="1" applyFont="1"/>
    <xf numFmtId="0" fontId="13" fillId="0" borderId="0" xfId="0" applyFont="1"/>
    <xf numFmtId="166" fontId="13" fillId="0" borderId="0" xfId="0" applyNumberFormat="1" applyFont="1"/>
    <xf numFmtId="166" fontId="12" fillId="0" borderId="17" xfId="0" applyNumberFormat="1" applyFont="1" applyBorder="1"/>
    <xf numFmtId="167" fontId="17" fillId="8" borderId="22" xfId="0" applyNumberFormat="1" applyFont="1" applyFill="1" applyBorder="1" applyAlignment="1">
      <alignment horizontal="center" wrapText="1"/>
    </xf>
    <xf numFmtId="167" fontId="17" fillId="6" borderId="22" xfId="0" applyNumberFormat="1" applyFont="1" applyFill="1" applyBorder="1" applyAlignment="1">
      <alignment horizontal="center" wrapText="1"/>
    </xf>
    <xf numFmtId="167" fontId="17" fillId="0" borderId="20" xfId="0" applyNumberFormat="1" applyFont="1" applyBorder="1"/>
    <xf numFmtId="167" fontId="19" fillId="0" borderId="20" xfId="0" applyNumberFormat="1" applyFont="1" applyBorder="1"/>
    <xf numFmtId="167" fontId="18" fillId="8" borderId="21" xfId="0" applyNumberFormat="1" applyFont="1" applyFill="1" applyBorder="1" applyAlignment="1">
      <alignment horizontal="center"/>
    </xf>
    <xf numFmtId="167" fontId="17" fillId="0" borderId="21" xfId="0" applyNumberFormat="1" applyFont="1" applyBorder="1"/>
    <xf numFmtId="167" fontId="17" fillId="0" borderId="23" xfId="0" applyNumberFormat="1" applyFont="1" applyBorder="1"/>
    <xf numFmtId="167" fontId="17" fillId="8" borderId="24" xfId="0" applyNumberFormat="1" applyFont="1" applyFill="1" applyBorder="1"/>
    <xf numFmtId="167" fontId="19" fillId="0" borderId="24" xfId="0" applyNumberFormat="1" applyFont="1" applyBorder="1"/>
    <xf numFmtId="167" fontId="17" fillId="0" borderId="25" xfId="0" applyNumberFormat="1" applyFont="1" applyBorder="1"/>
    <xf numFmtId="167" fontId="18" fillId="8" borderId="18" xfId="0" applyNumberFormat="1" applyFont="1" applyFill="1" applyBorder="1" applyAlignment="1">
      <alignment horizontal="center"/>
    </xf>
    <xf numFmtId="167" fontId="17" fillId="0" borderId="19" xfId="0" applyNumberFormat="1" applyFont="1" applyBorder="1"/>
    <xf numFmtId="167" fontId="16" fillId="8" borderId="18" xfId="0" applyNumberFormat="1" applyFont="1" applyFill="1" applyBorder="1" applyAlignment="1">
      <alignment horizontal="center"/>
    </xf>
    <xf numFmtId="167" fontId="19" fillId="0" borderId="19" xfId="0" applyNumberFormat="1" applyFont="1" applyBorder="1"/>
    <xf numFmtId="167" fontId="16" fillId="8" borderId="24" xfId="0" applyNumberFormat="1" applyFont="1" applyFill="1" applyBorder="1" applyAlignment="1">
      <alignment horizontal="center"/>
    </xf>
    <xf numFmtId="167" fontId="19" fillId="0" borderId="25" xfId="0" applyNumberFormat="1" applyFont="1" applyBorder="1"/>
    <xf numFmtId="167" fontId="16" fillId="8" borderId="26" xfId="0" applyNumberFormat="1" applyFont="1" applyFill="1" applyBorder="1" applyAlignment="1">
      <alignment horizontal="center"/>
    </xf>
    <xf numFmtId="167" fontId="17" fillId="0" borderId="26" xfId="0" applyNumberFormat="1" applyFont="1" applyBorder="1"/>
    <xf numFmtId="167" fontId="19" fillId="0" borderId="27" xfId="0" applyNumberFormat="1" applyFont="1" applyBorder="1"/>
    <xf numFmtId="167" fontId="18" fillId="8" borderId="26" xfId="0" applyNumberFormat="1" applyFont="1" applyFill="1" applyBorder="1" applyAlignment="1">
      <alignment horizontal="center"/>
    </xf>
    <xf numFmtId="167" fontId="17" fillId="0" borderId="27" xfId="0" applyNumberFormat="1" applyFont="1" applyBorder="1"/>
    <xf numFmtId="167" fontId="16" fillId="0" borderId="0" xfId="0" applyNumberFormat="1" applyFont="1"/>
    <xf numFmtId="0" fontId="18" fillId="8" borderId="18" xfId="0" applyFont="1" applyFill="1" applyBorder="1"/>
    <xf numFmtId="0" fontId="18" fillId="7" borderId="18" xfId="0" applyFont="1" applyFill="1" applyBorder="1"/>
    <xf numFmtId="0" fontId="18" fillId="0" borderId="19" xfId="0" applyFont="1" applyBorder="1"/>
    <xf numFmtId="0" fontId="18" fillId="0" borderId="0" xfId="0" applyFont="1"/>
    <xf numFmtId="10" fontId="16" fillId="0" borderId="20" xfId="0" applyNumberFormat="1" applyFont="1" applyBorder="1"/>
    <xf numFmtId="169" fontId="12" fillId="0" borderId="0" xfId="0" applyNumberFormat="1" applyFont="1"/>
    <xf numFmtId="169" fontId="13" fillId="0" borderId="0" xfId="0" applyNumberFormat="1" applyFont="1"/>
    <xf numFmtId="169" fontId="12" fillId="0" borderId="17" xfId="0" applyNumberFormat="1" applyFont="1" applyBorder="1"/>
    <xf numFmtId="166" fontId="13" fillId="10" borderId="0" xfId="0" applyNumberFormat="1" applyFont="1" applyFill="1"/>
    <xf numFmtId="166" fontId="13" fillId="9" borderId="0" xfId="0" applyNumberFormat="1" applyFont="1" applyFill="1"/>
    <xf numFmtId="0" fontId="0" fillId="9" borderId="0" xfId="0" applyFill="1"/>
    <xf numFmtId="166" fontId="12" fillId="0" borderId="28" xfId="0" applyNumberFormat="1" applyFont="1" applyBorder="1"/>
    <xf numFmtId="166" fontId="13" fillId="3" borderId="0" xfId="0" applyNumberFormat="1" applyFont="1" applyFill="1"/>
    <xf numFmtId="167" fontId="22" fillId="0" borderId="20" xfId="0" applyNumberFormat="1" applyFont="1" applyBorder="1"/>
    <xf numFmtId="166" fontId="0" fillId="0" borderId="0" xfId="0" applyNumberFormat="1"/>
    <xf numFmtId="44" fontId="0" fillId="0" borderId="0" xfId="2" applyFont="1" applyFill="1"/>
    <xf numFmtId="10" fontId="0" fillId="0" borderId="0" xfId="3" applyNumberFormat="1" applyFont="1" applyFill="1"/>
    <xf numFmtId="0" fontId="1" fillId="0" borderId="0" xfId="1" applyFont="1"/>
    <xf numFmtId="44" fontId="2" fillId="0" borderId="0" xfId="5" applyFont="1"/>
    <xf numFmtId="167" fontId="17" fillId="0" borderId="24" xfId="0" applyNumberFormat="1" applyFont="1" applyBorder="1"/>
    <xf numFmtId="167" fontId="17" fillId="6" borderId="29" xfId="0" applyNumberFormat="1" applyFont="1" applyFill="1" applyBorder="1" applyAlignment="1">
      <alignment horizontal="left" wrapText="1"/>
    </xf>
    <xf numFmtId="0" fontId="0" fillId="0" borderId="9" xfId="0" applyBorder="1"/>
    <xf numFmtId="167" fontId="17" fillId="0" borderId="8" xfId="0" applyNumberFormat="1" applyFont="1" applyBorder="1"/>
    <xf numFmtId="167" fontId="16" fillId="8" borderId="0" xfId="0" applyNumberFormat="1" applyFont="1" applyFill="1" applyAlignment="1">
      <alignment horizontal="center"/>
    </xf>
    <xf numFmtId="167" fontId="17" fillId="0" borderId="0" xfId="0" applyNumberFormat="1" applyFont="1"/>
    <xf numFmtId="0" fontId="13" fillId="0" borderId="8" xfId="0" applyFont="1" applyBorder="1"/>
    <xf numFmtId="167" fontId="19" fillId="0" borderId="0" xfId="0" applyNumberFormat="1" applyFont="1"/>
    <xf numFmtId="0" fontId="19" fillId="0" borderId="8" xfId="0" applyFont="1" applyBorder="1" applyAlignment="1">
      <alignment horizontal="left" indent="2"/>
    </xf>
    <xf numFmtId="167" fontId="20" fillId="8" borderId="0" xfId="0" applyNumberFormat="1" applyFont="1" applyFill="1" applyAlignment="1">
      <alignment horizontal="center"/>
    </xf>
    <xf numFmtId="167" fontId="17" fillId="0" borderId="8" xfId="0" applyNumberFormat="1" applyFont="1" applyBorder="1" applyAlignment="1">
      <alignment horizontal="left"/>
    </xf>
    <xf numFmtId="167" fontId="22" fillId="0" borderId="0" xfId="0" applyNumberFormat="1" applyFont="1"/>
    <xf numFmtId="0" fontId="19" fillId="2" borderId="8" xfId="0" applyFont="1" applyFill="1" applyBorder="1" applyAlignment="1">
      <alignment horizontal="left" indent="2"/>
    </xf>
    <xf numFmtId="0" fontId="21" fillId="0" borderId="8" xfId="0" applyFont="1" applyBorder="1" applyAlignment="1">
      <alignment horizontal="left" indent="2"/>
    </xf>
    <xf numFmtId="0" fontId="0" fillId="0" borderId="9" xfId="0" quotePrefix="1" applyBorder="1"/>
    <xf numFmtId="44" fontId="0" fillId="0" borderId="9" xfId="5" applyFont="1" applyBorder="1"/>
    <xf numFmtId="0" fontId="17" fillId="0" borderId="8" xfId="0" applyFont="1" applyBorder="1"/>
    <xf numFmtId="167" fontId="19" fillId="0" borderId="8" xfId="0" applyNumberFormat="1" applyFont="1" applyBorder="1"/>
    <xf numFmtId="167" fontId="16" fillId="0" borderId="8" xfId="0" applyNumberFormat="1" applyFont="1" applyBorder="1"/>
    <xf numFmtId="167" fontId="16" fillId="0" borderId="0" xfId="0" applyNumberFormat="1" applyFont="1" applyAlignment="1">
      <alignment horizontal="center"/>
    </xf>
    <xf numFmtId="167" fontId="18" fillId="0" borderId="0" xfId="0" applyNumberFormat="1" applyFont="1"/>
    <xf numFmtId="167" fontId="16" fillId="0" borderId="9" xfId="0" applyNumberFormat="1" applyFont="1" applyBorder="1"/>
    <xf numFmtId="167" fontId="18" fillId="0" borderId="32" xfId="0" applyNumberFormat="1" applyFont="1" applyBorder="1"/>
    <xf numFmtId="0" fontId="18" fillId="0" borderId="9" xfId="0" applyFont="1" applyBorder="1"/>
    <xf numFmtId="167" fontId="16" fillId="8" borderId="0" xfId="0" applyNumberFormat="1" applyFont="1" applyFill="1"/>
    <xf numFmtId="167" fontId="16" fillId="7" borderId="0" xfId="0" applyNumberFormat="1" applyFont="1" applyFill="1"/>
    <xf numFmtId="167" fontId="17" fillId="0" borderId="33" xfId="0" applyNumberFormat="1" applyFont="1" applyBorder="1"/>
    <xf numFmtId="167" fontId="18" fillId="8" borderId="1" xfId="0" applyNumberFormat="1" applyFont="1" applyFill="1" applyBorder="1" applyAlignment="1">
      <alignment horizontal="center"/>
    </xf>
    <xf numFmtId="167" fontId="18" fillId="7" borderId="1" xfId="0" applyNumberFormat="1" applyFont="1" applyFill="1" applyBorder="1" applyAlignment="1">
      <alignment horizontal="center"/>
    </xf>
    <xf numFmtId="10" fontId="18" fillId="0" borderId="34" xfId="0" applyNumberFormat="1" applyFont="1" applyBorder="1"/>
    <xf numFmtId="167" fontId="16" fillId="0" borderId="10" xfId="0" applyNumberFormat="1" applyFont="1" applyBorder="1"/>
    <xf numFmtId="0" fontId="14" fillId="0" borderId="7" xfId="4" applyFont="1" applyBorder="1"/>
    <xf numFmtId="167" fontId="15" fillId="0" borderId="9" xfId="0" applyNumberFormat="1" applyFont="1" applyBorder="1"/>
    <xf numFmtId="167" fontId="16" fillId="0" borderId="12" xfId="0" applyNumberFormat="1" applyFont="1" applyBorder="1"/>
    <xf numFmtId="167" fontId="17" fillId="7" borderId="30" xfId="0" applyNumberFormat="1" applyFont="1" applyFill="1" applyBorder="1" applyAlignment="1">
      <alignment horizontal="center" wrapText="1"/>
    </xf>
    <xf numFmtId="168" fontId="18" fillId="2" borderId="9" xfId="0" applyNumberFormat="1" applyFont="1" applyFill="1" applyBorder="1" applyAlignment="1">
      <alignment horizontal="right"/>
    </xf>
    <xf numFmtId="167" fontId="18" fillId="7" borderId="9" xfId="0" applyNumberFormat="1" applyFont="1" applyFill="1" applyBorder="1" applyAlignment="1">
      <alignment horizontal="left"/>
    </xf>
    <xf numFmtId="167" fontId="18" fillId="7" borderId="31" xfId="0" applyNumberFormat="1" applyFont="1" applyFill="1" applyBorder="1" applyAlignment="1">
      <alignment horizontal="left"/>
    </xf>
    <xf numFmtId="167" fontId="23" fillId="7" borderId="9" xfId="0" applyNumberFormat="1" applyFont="1" applyFill="1" applyBorder="1" applyAlignment="1">
      <alignment horizontal="left"/>
    </xf>
    <xf numFmtId="167" fontId="17" fillId="7" borderId="31" xfId="0" applyNumberFormat="1" applyFont="1" applyFill="1" applyBorder="1"/>
    <xf numFmtId="167" fontId="18" fillId="7" borderId="9" xfId="0" applyNumberFormat="1" applyFont="1" applyFill="1" applyBorder="1"/>
    <xf numFmtId="167" fontId="17" fillId="7" borderId="35" xfId="0" applyNumberFormat="1" applyFont="1" applyFill="1" applyBorder="1"/>
    <xf numFmtId="44" fontId="18" fillId="7" borderId="9" xfId="0" applyNumberFormat="1" applyFont="1" applyFill="1" applyBorder="1"/>
    <xf numFmtId="10" fontId="18" fillId="2" borderId="9" xfId="0" applyNumberFormat="1" applyFont="1" applyFill="1" applyBorder="1"/>
    <xf numFmtId="167" fontId="18" fillId="7" borderId="31" xfId="0" applyNumberFormat="1" applyFont="1" applyFill="1" applyBorder="1"/>
    <xf numFmtId="167" fontId="18" fillId="7" borderId="36" xfId="0" applyNumberFormat="1" applyFont="1" applyFill="1" applyBorder="1"/>
    <xf numFmtId="167" fontId="18" fillId="7" borderId="35" xfId="0" applyNumberFormat="1" applyFont="1" applyFill="1" applyBorder="1"/>
    <xf numFmtId="167" fontId="18" fillId="7" borderId="37" xfId="0" applyNumberFormat="1" applyFont="1" applyFill="1" applyBorder="1"/>
    <xf numFmtId="44" fontId="0" fillId="0" borderId="0" xfId="5" applyFont="1"/>
    <xf numFmtId="0" fontId="9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4" fillId="0" borderId="6" xfId="4" applyFont="1" applyBorder="1" applyAlignment="1">
      <alignment horizontal="center"/>
    </xf>
    <xf numFmtId="0" fontId="14" fillId="0" borderId="2" xfId="4" applyFont="1" applyBorder="1" applyAlignment="1">
      <alignment horizontal="center"/>
    </xf>
    <xf numFmtId="0" fontId="14" fillId="0" borderId="7" xfId="4" applyFont="1" applyBorder="1" applyAlignment="1">
      <alignment horizontal="center"/>
    </xf>
    <xf numFmtId="167" fontId="15" fillId="0" borderId="8" xfId="0" applyNumberFormat="1" applyFont="1" applyBorder="1" applyAlignment="1">
      <alignment horizontal="center"/>
    </xf>
    <xf numFmtId="167" fontId="15" fillId="0" borderId="0" xfId="0" applyNumberFormat="1" applyFont="1" applyAlignment="1">
      <alignment horizontal="center"/>
    </xf>
    <xf numFmtId="167" fontId="15" fillId="0" borderId="9" xfId="0" applyNumberFormat="1" applyFont="1" applyBorder="1" applyAlignment="1">
      <alignment horizontal="center"/>
    </xf>
    <xf numFmtId="167" fontId="16" fillId="7" borderId="11" xfId="0" applyNumberFormat="1" applyFont="1" applyFill="1" applyBorder="1" applyAlignment="1">
      <alignment horizontal="center"/>
    </xf>
    <xf numFmtId="167" fontId="16" fillId="7" borderId="4" xfId="0" applyNumberFormat="1" applyFont="1" applyFill="1" applyBorder="1" applyAlignment="1">
      <alignment horizontal="center"/>
    </xf>
    <xf numFmtId="167" fontId="16" fillId="7" borderId="12" xfId="0" applyNumberFormat="1" applyFont="1" applyFill="1" applyBorder="1" applyAlignment="1">
      <alignment horizontal="center"/>
    </xf>
  </cellXfs>
  <cellStyles count="6">
    <cellStyle name="Currency" xfId="5" builtinId="4"/>
    <cellStyle name="Currency 2" xfId="2" xr:uid="{9C3E25B4-7153-43D4-B2B4-06047243ED22}"/>
    <cellStyle name="Normal" xfId="0" builtinId="0"/>
    <cellStyle name="Normal 2" xfId="1" xr:uid="{FB130111-29D8-4664-BC7E-3CA9373E6072}"/>
    <cellStyle name="Normal 3" xfId="4" xr:uid="{E8F3D2AF-A034-4F9E-9754-CA46DD89B007}"/>
    <cellStyle name="Percent 2" xfId="3" xr:uid="{15327AE0-1811-4F79-8AFF-5BB9B77CE9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1"/>
  <sheetViews>
    <sheetView topLeftCell="A13" workbookViewId="0">
      <selection activeCell="M4" sqref="B1:M1048576"/>
    </sheetView>
  </sheetViews>
  <sheetFormatPr defaultRowHeight="15" x14ac:dyDescent="0.25"/>
  <cols>
    <col min="1" max="1" width="30" bestFit="1" customWidth="1"/>
    <col min="2" max="2" width="13.28515625" hidden="1" customWidth="1"/>
    <col min="3" max="11" width="12.42578125" hidden="1" customWidth="1"/>
    <col min="12" max="12" width="13.7109375" hidden="1" customWidth="1"/>
    <col min="13" max="13" width="12.42578125" style="2" hidden="1" customWidth="1"/>
    <col min="14" max="14" width="13.7109375" bestFit="1" customWidth="1"/>
    <col min="15" max="15" width="14" style="3" bestFit="1" customWidth="1"/>
    <col min="16" max="16" width="2.7109375" customWidth="1"/>
    <col min="17" max="17" width="40.85546875" style="1" customWidth="1"/>
    <col min="19" max="19" width="10.28515625" bestFit="1" customWidth="1"/>
  </cols>
  <sheetData>
    <row r="1" spans="1:17" ht="20.25" x14ac:dyDescent="0.3">
      <c r="A1" s="138" t="s">
        <v>62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</row>
    <row r="2" spans="1:17" ht="18.75" x14ac:dyDescent="0.3">
      <c r="A2" s="139" t="s">
        <v>102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</row>
    <row r="3" spans="1:17" x14ac:dyDescent="0.25">
      <c r="A3" s="140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1"/>
      <c r="O3" s="141"/>
      <c r="P3" s="141"/>
      <c r="Q3" s="142"/>
    </row>
    <row r="4" spans="1:17" ht="43.5" x14ac:dyDescent="0.25">
      <c r="A4" s="27"/>
      <c r="B4" s="28" t="s">
        <v>0</v>
      </c>
      <c r="C4" s="28" t="s">
        <v>1</v>
      </c>
      <c r="D4" s="28" t="s">
        <v>2</v>
      </c>
      <c r="E4" s="28" t="s">
        <v>3</v>
      </c>
      <c r="F4" s="28" t="s">
        <v>4</v>
      </c>
      <c r="G4" s="28" t="s">
        <v>5</v>
      </c>
      <c r="H4" s="28" t="s">
        <v>6</v>
      </c>
      <c r="I4" s="28" t="s">
        <v>7</v>
      </c>
      <c r="J4" s="28" t="s">
        <v>8</v>
      </c>
      <c r="K4" s="28" t="s">
        <v>9</v>
      </c>
      <c r="L4" s="28" t="s">
        <v>10</v>
      </c>
      <c r="M4" s="29">
        <v>45078</v>
      </c>
      <c r="N4" s="28" t="s">
        <v>101</v>
      </c>
      <c r="O4" s="32" t="s">
        <v>95</v>
      </c>
      <c r="P4" s="30"/>
      <c r="Q4" s="31" t="s">
        <v>63</v>
      </c>
    </row>
    <row r="5" spans="1:17" x14ac:dyDescent="0.25">
      <c r="A5" s="39" t="s">
        <v>11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9"/>
      <c r="N5" s="18"/>
      <c r="O5" s="33"/>
      <c r="P5" s="17"/>
      <c r="Q5" s="23"/>
    </row>
    <row r="6" spans="1:17" x14ac:dyDescent="0.25">
      <c r="A6" s="40" t="s">
        <v>12</v>
      </c>
      <c r="B6" s="20">
        <v>2800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9"/>
      <c r="N6" s="20">
        <f t="shared" ref="N6:N9" si="0">((((((((((B6)+(C6))+(D6))+(E6))+(F6))+(G6))+(H6))+(I6))+(J6))+(K6))+(L6)</f>
        <v>2800</v>
      </c>
      <c r="O6" s="33"/>
      <c r="P6" s="17"/>
      <c r="Q6" s="23"/>
    </row>
    <row r="7" spans="1:17" x14ac:dyDescent="0.25">
      <c r="A7" s="40" t="s">
        <v>13</v>
      </c>
      <c r="B7" s="20">
        <f t="shared" ref="B7:M7" si="1">15624.8</f>
        <v>15624.8</v>
      </c>
      <c r="C7" s="20">
        <f t="shared" si="1"/>
        <v>15624.8</v>
      </c>
      <c r="D7" s="20">
        <f t="shared" si="1"/>
        <v>15624.8</v>
      </c>
      <c r="E7" s="20">
        <f t="shared" si="1"/>
        <v>15624.8</v>
      </c>
      <c r="F7" s="20">
        <f t="shared" si="1"/>
        <v>15624.8</v>
      </c>
      <c r="G7" s="20">
        <f t="shared" si="1"/>
        <v>15624.8</v>
      </c>
      <c r="H7" s="20">
        <f t="shared" si="1"/>
        <v>15624.8</v>
      </c>
      <c r="I7" s="20">
        <f t="shared" si="1"/>
        <v>15624.8</v>
      </c>
      <c r="J7" s="20">
        <f t="shared" si="1"/>
        <v>15624.8</v>
      </c>
      <c r="K7" s="20">
        <f t="shared" si="1"/>
        <v>15624.8</v>
      </c>
      <c r="L7" s="20">
        <f t="shared" si="1"/>
        <v>15624.8</v>
      </c>
      <c r="M7" s="21">
        <f t="shared" si="1"/>
        <v>15624.8</v>
      </c>
      <c r="N7" s="20">
        <f>SUM(B7:M7)</f>
        <v>187497.59999999998</v>
      </c>
      <c r="O7" s="33">
        <f>O42</f>
        <v>189634</v>
      </c>
      <c r="P7" s="17"/>
      <c r="Q7" s="23"/>
    </row>
    <row r="8" spans="1:17" x14ac:dyDescent="0.25">
      <c r="A8" s="40" t="s">
        <v>14</v>
      </c>
      <c r="B8" s="20">
        <f>0.38</f>
        <v>0.38</v>
      </c>
      <c r="C8" s="20">
        <f>0.38</f>
        <v>0.38</v>
      </c>
      <c r="D8" s="20">
        <f>1.62</f>
        <v>1.62</v>
      </c>
      <c r="E8" s="18"/>
      <c r="F8" s="18"/>
      <c r="G8" s="18"/>
      <c r="H8" s="18"/>
      <c r="I8" s="18"/>
      <c r="J8" s="18"/>
      <c r="K8" s="18"/>
      <c r="L8" s="18"/>
      <c r="M8" s="19"/>
      <c r="N8" s="20">
        <f t="shared" si="0"/>
        <v>2.38</v>
      </c>
      <c r="O8" s="33"/>
      <c r="P8" s="17"/>
      <c r="Q8" s="23"/>
    </row>
    <row r="9" spans="1:17" x14ac:dyDescent="0.25">
      <c r="A9" s="40" t="s">
        <v>15</v>
      </c>
      <c r="B9" s="20">
        <f>25</f>
        <v>25</v>
      </c>
      <c r="C9" s="18"/>
      <c r="D9" s="20">
        <f>25</f>
        <v>25</v>
      </c>
      <c r="E9" s="18"/>
      <c r="F9" s="20">
        <f>25</f>
        <v>25</v>
      </c>
      <c r="G9" s="20">
        <f>75</f>
        <v>75</v>
      </c>
      <c r="H9" s="18"/>
      <c r="I9" s="20">
        <f>25</f>
        <v>25</v>
      </c>
      <c r="J9" s="18"/>
      <c r="K9" s="20">
        <f>25</f>
        <v>25</v>
      </c>
      <c r="L9" s="18"/>
      <c r="M9" s="19"/>
      <c r="N9" s="20">
        <f t="shared" si="0"/>
        <v>200</v>
      </c>
      <c r="O9" s="33"/>
      <c r="P9" s="17"/>
      <c r="Q9" s="23"/>
    </row>
    <row r="10" spans="1:17" ht="15.75" thickBot="1" x14ac:dyDescent="0.3">
      <c r="A10" s="38" t="s">
        <v>16</v>
      </c>
      <c r="B10" s="15">
        <f>SUM(B6:B9)</f>
        <v>18450.18</v>
      </c>
      <c r="C10" s="15">
        <f t="shared" ref="C10:M10" si="2">SUM(C6:C9)</f>
        <v>15625.179999999998</v>
      </c>
      <c r="D10" s="15">
        <f t="shared" si="2"/>
        <v>15651.42</v>
      </c>
      <c r="E10" s="15">
        <f t="shared" si="2"/>
        <v>15624.8</v>
      </c>
      <c r="F10" s="15">
        <f t="shared" si="2"/>
        <v>15649.8</v>
      </c>
      <c r="G10" s="15">
        <f t="shared" si="2"/>
        <v>15699.8</v>
      </c>
      <c r="H10" s="15">
        <f t="shared" si="2"/>
        <v>15624.8</v>
      </c>
      <c r="I10" s="15">
        <f t="shared" si="2"/>
        <v>15649.8</v>
      </c>
      <c r="J10" s="15">
        <f t="shared" si="2"/>
        <v>15624.8</v>
      </c>
      <c r="K10" s="15">
        <f t="shared" si="2"/>
        <v>15649.8</v>
      </c>
      <c r="L10" s="15">
        <f t="shared" si="2"/>
        <v>15624.8</v>
      </c>
      <c r="M10" s="16">
        <f t="shared" si="2"/>
        <v>15624.8</v>
      </c>
      <c r="N10" s="37">
        <f>SUM(B10:M10)</f>
        <v>190499.97999999998</v>
      </c>
      <c r="O10" s="34"/>
      <c r="P10" s="36"/>
      <c r="Q10" s="23"/>
    </row>
    <row r="11" spans="1:17" x14ac:dyDescent="0.25">
      <c r="A11" s="38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4"/>
      <c r="N11" s="13"/>
      <c r="O11" s="33"/>
      <c r="P11" s="17"/>
      <c r="Q11" s="23"/>
    </row>
    <row r="12" spans="1:17" x14ac:dyDescent="0.25">
      <c r="A12" s="38" t="s">
        <v>17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9"/>
      <c r="N12" s="18"/>
      <c r="O12" s="33"/>
      <c r="P12" s="17"/>
      <c r="Q12" s="23"/>
    </row>
    <row r="13" spans="1:17" x14ac:dyDescent="0.25">
      <c r="A13" s="40" t="s">
        <v>18</v>
      </c>
      <c r="B13" s="18"/>
      <c r="C13" s="20">
        <f>-431</f>
        <v>-431</v>
      </c>
      <c r="D13" s="18"/>
      <c r="E13" s="18"/>
      <c r="F13" s="18"/>
      <c r="G13" s="18"/>
      <c r="H13" s="18"/>
      <c r="I13" s="18"/>
      <c r="J13" s="18"/>
      <c r="K13" s="18"/>
      <c r="L13" s="18"/>
      <c r="M13" s="19"/>
      <c r="N13" s="20">
        <f>SUM(B13:M13)</f>
        <v>-431</v>
      </c>
      <c r="O13" s="33"/>
      <c r="P13" s="17"/>
      <c r="Q13" s="23"/>
    </row>
    <row r="14" spans="1:17" x14ac:dyDescent="0.25">
      <c r="A14" s="40" t="s">
        <v>19</v>
      </c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9"/>
      <c r="N14" s="20">
        <f t="shared" ref="N14:N61" si="3">SUM(B14:M14)</f>
        <v>0</v>
      </c>
      <c r="O14" s="33"/>
      <c r="P14" s="17"/>
      <c r="Q14" s="23"/>
    </row>
    <row r="15" spans="1:17" x14ac:dyDescent="0.25">
      <c r="A15" s="40" t="s">
        <v>20</v>
      </c>
      <c r="B15" s="18"/>
      <c r="C15" s="18"/>
      <c r="D15" s="18"/>
      <c r="E15" s="18"/>
      <c r="F15" s="20">
        <f>68.91</f>
        <v>68.91</v>
      </c>
      <c r="G15" s="18"/>
      <c r="H15" s="18"/>
      <c r="I15" s="18"/>
      <c r="J15" s="18"/>
      <c r="K15" s="18"/>
      <c r="L15" s="18"/>
      <c r="M15" s="19"/>
      <c r="N15" s="20">
        <f t="shared" si="3"/>
        <v>68.91</v>
      </c>
      <c r="O15" s="33">
        <v>75</v>
      </c>
      <c r="P15" s="17"/>
      <c r="Q15" s="23"/>
    </row>
    <row r="16" spans="1:17" x14ac:dyDescent="0.25">
      <c r="A16" s="40" t="s">
        <v>93</v>
      </c>
      <c r="B16" s="18"/>
      <c r="C16" s="18"/>
      <c r="D16" s="20">
        <f>285</f>
        <v>285</v>
      </c>
      <c r="E16" s="18"/>
      <c r="F16" s="18"/>
      <c r="G16" s="18"/>
      <c r="H16" s="18"/>
      <c r="I16" s="18"/>
      <c r="J16" s="18"/>
      <c r="K16" s="18"/>
      <c r="L16" s="18"/>
      <c r="M16" s="19"/>
      <c r="N16" s="20">
        <f t="shared" si="3"/>
        <v>285</v>
      </c>
      <c r="O16" s="33">
        <v>300</v>
      </c>
      <c r="P16" s="17"/>
      <c r="Q16" s="23"/>
    </row>
    <row r="17" spans="1:19" x14ac:dyDescent="0.25">
      <c r="A17" s="40" t="s">
        <v>21</v>
      </c>
      <c r="B17" s="20">
        <f>1498.08</f>
        <v>1498.08</v>
      </c>
      <c r="C17" s="20">
        <f>1498.08</f>
        <v>1498.08</v>
      </c>
      <c r="D17" s="20">
        <f>2011.75</f>
        <v>2011.75</v>
      </c>
      <c r="E17" s="20">
        <f>2361.75</f>
        <v>2361.75</v>
      </c>
      <c r="F17" s="20">
        <f t="shared" ref="F17:M17" si="4">2011.75</f>
        <v>2011.75</v>
      </c>
      <c r="G17" s="20">
        <f t="shared" si="4"/>
        <v>2011.75</v>
      </c>
      <c r="H17" s="20">
        <f t="shared" si="4"/>
        <v>2011.75</v>
      </c>
      <c r="I17" s="20">
        <f t="shared" si="4"/>
        <v>2011.75</v>
      </c>
      <c r="J17" s="20">
        <f t="shared" si="4"/>
        <v>2011.75</v>
      </c>
      <c r="K17" s="20">
        <f t="shared" si="4"/>
        <v>2011.75</v>
      </c>
      <c r="L17" s="20">
        <f t="shared" si="4"/>
        <v>2011.75</v>
      </c>
      <c r="M17" s="21">
        <f t="shared" si="4"/>
        <v>2011.75</v>
      </c>
      <c r="N17" s="20">
        <f>SUM(B17:M17)</f>
        <v>23463.66</v>
      </c>
      <c r="O17" s="33">
        <v>25000</v>
      </c>
      <c r="P17" s="17"/>
      <c r="Q17" s="23" t="s">
        <v>64</v>
      </c>
    </row>
    <row r="18" spans="1:19" x14ac:dyDescent="0.25">
      <c r="A18" s="40" t="s">
        <v>22</v>
      </c>
      <c r="B18" s="18"/>
      <c r="C18" s="20">
        <f>10</f>
        <v>10</v>
      </c>
      <c r="D18" s="20">
        <f>29</f>
        <v>29</v>
      </c>
      <c r="E18" s="18"/>
      <c r="F18" s="18"/>
      <c r="G18" s="18"/>
      <c r="H18" s="18"/>
      <c r="I18" s="18"/>
      <c r="J18" s="18"/>
      <c r="K18" s="18"/>
      <c r="L18" s="18"/>
      <c r="M18" s="19"/>
      <c r="N18" s="20">
        <f t="shared" si="3"/>
        <v>39</v>
      </c>
      <c r="O18" s="33">
        <v>39</v>
      </c>
      <c r="P18" s="17"/>
      <c r="Q18" s="23"/>
    </row>
    <row r="19" spans="1:19" x14ac:dyDescent="0.25">
      <c r="A19" s="40" t="s">
        <v>23</v>
      </c>
      <c r="B19" s="18"/>
      <c r="C19" s="20">
        <f>0.27</f>
        <v>0.27</v>
      </c>
      <c r="D19" s="18"/>
      <c r="E19" s="18"/>
      <c r="F19" s="18"/>
      <c r="G19" s="18"/>
      <c r="H19" s="18"/>
      <c r="I19" s="18"/>
      <c r="J19" s="18"/>
      <c r="K19" s="18"/>
      <c r="L19" s="18"/>
      <c r="M19" s="19"/>
      <c r="N19" s="20">
        <f t="shared" si="3"/>
        <v>0.27</v>
      </c>
      <c r="O19" s="33"/>
      <c r="P19" s="17"/>
      <c r="Q19" s="23"/>
    </row>
    <row r="20" spans="1:19" ht="30" x14ac:dyDescent="0.25">
      <c r="A20" s="40" t="s">
        <v>24</v>
      </c>
      <c r="B20" s="20">
        <f>80</f>
        <v>80</v>
      </c>
      <c r="C20" s="20">
        <f>80</f>
        <v>80</v>
      </c>
      <c r="D20" s="20">
        <f>85</f>
        <v>85</v>
      </c>
      <c r="E20" s="20">
        <f>85</f>
        <v>85</v>
      </c>
      <c r="F20" s="20">
        <f>85</f>
        <v>85</v>
      </c>
      <c r="G20" s="20">
        <f>85</f>
        <v>85</v>
      </c>
      <c r="H20" s="20">
        <f>120.79</f>
        <v>120.79</v>
      </c>
      <c r="I20" s="20">
        <f>87.13</f>
        <v>87.13</v>
      </c>
      <c r="J20" s="20">
        <f>87.13</f>
        <v>87.13</v>
      </c>
      <c r="K20" s="20">
        <f>87.13</f>
        <v>87.13</v>
      </c>
      <c r="L20" s="20">
        <f>87.13</f>
        <v>87.13</v>
      </c>
      <c r="M20" s="21">
        <f>87.13</f>
        <v>87.13</v>
      </c>
      <c r="N20" s="20">
        <f t="shared" si="3"/>
        <v>1056.44</v>
      </c>
      <c r="O20" s="33">
        <v>100</v>
      </c>
      <c r="P20" s="17"/>
      <c r="Q20" s="23" t="s">
        <v>94</v>
      </c>
    </row>
    <row r="21" spans="1:19" x14ac:dyDescent="0.25">
      <c r="A21" s="40" t="s">
        <v>25</v>
      </c>
      <c r="B21" s="18"/>
      <c r="C21" s="20">
        <f>37.66</f>
        <v>37.659999999999997</v>
      </c>
      <c r="D21" s="18"/>
      <c r="E21" s="18"/>
      <c r="F21" s="18"/>
      <c r="G21" s="18"/>
      <c r="H21" s="18"/>
      <c r="I21" s="18"/>
      <c r="J21" s="18"/>
      <c r="K21" s="18"/>
      <c r="L21" s="18"/>
      <c r="M21" s="19"/>
      <c r="N21" s="20">
        <f t="shared" si="3"/>
        <v>37.659999999999997</v>
      </c>
      <c r="O21" s="33"/>
      <c r="P21" s="17"/>
      <c r="Q21" s="23"/>
    </row>
    <row r="22" spans="1:19" x14ac:dyDescent="0.25">
      <c r="A22" s="40" t="s">
        <v>26</v>
      </c>
      <c r="B22" s="20">
        <f t="shared" ref="B22:M22" si="5">3474.26</f>
        <v>3474.26</v>
      </c>
      <c r="C22" s="20">
        <f t="shared" si="5"/>
        <v>3474.26</v>
      </c>
      <c r="D22" s="20">
        <f t="shared" si="5"/>
        <v>3474.26</v>
      </c>
      <c r="E22" s="20">
        <f t="shared" si="5"/>
        <v>3474.26</v>
      </c>
      <c r="F22" s="20">
        <f t="shared" si="5"/>
        <v>3474.26</v>
      </c>
      <c r="G22" s="20">
        <f t="shared" si="5"/>
        <v>3474.26</v>
      </c>
      <c r="H22" s="20">
        <f t="shared" si="5"/>
        <v>3474.26</v>
      </c>
      <c r="I22" s="20">
        <f t="shared" si="5"/>
        <v>3474.26</v>
      </c>
      <c r="J22" s="20">
        <f t="shared" si="5"/>
        <v>3474.26</v>
      </c>
      <c r="K22" s="20">
        <f t="shared" si="5"/>
        <v>3474.26</v>
      </c>
      <c r="L22" s="20">
        <f t="shared" si="5"/>
        <v>3474.26</v>
      </c>
      <c r="M22" s="21">
        <f t="shared" si="5"/>
        <v>3474.26</v>
      </c>
      <c r="N22" s="20">
        <f t="shared" si="3"/>
        <v>41691.120000000017</v>
      </c>
      <c r="O22" s="33">
        <v>43775</v>
      </c>
      <c r="P22" s="17"/>
      <c r="Q22" s="23" t="s">
        <v>65</v>
      </c>
      <c r="S22" s="3"/>
    </row>
    <row r="23" spans="1:19" x14ac:dyDescent="0.25">
      <c r="A23" s="40" t="s">
        <v>27</v>
      </c>
      <c r="B23" s="18"/>
      <c r="C23" s="20">
        <f>0</f>
        <v>0</v>
      </c>
      <c r="D23" s="18"/>
      <c r="E23" s="18"/>
      <c r="F23" s="18"/>
      <c r="G23" s="18"/>
      <c r="H23" s="18"/>
      <c r="I23" s="18"/>
      <c r="J23" s="18"/>
      <c r="K23" s="18"/>
      <c r="L23" s="18"/>
      <c r="M23" s="19"/>
      <c r="N23" s="20">
        <f t="shared" si="3"/>
        <v>0</v>
      </c>
      <c r="O23" s="33"/>
      <c r="P23" s="17"/>
      <c r="Q23" s="23"/>
    </row>
    <row r="24" spans="1:19" x14ac:dyDescent="0.25">
      <c r="A24" s="40" t="s">
        <v>92</v>
      </c>
      <c r="B24" s="18"/>
      <c r="C24" s="20">
        <f>495</f>
        <v>495</v>
      </c>
      <c r="D24" s="18"/>
      <c r="E24" s="18"/>
      <c r="F24" s="18"/>
      <c r="G24" s="18"/>
      <c r="H24" s="18"/>
      <c r="I24" s="18"/>
      <c r="J24" s="18"/>
      <c r="K24" s="18"/>
      <c r="L24" s="18"/>
      <c r="M24" s="19"/>
      <c r="N24" s="20">
        <f t="shared" si="3"/>
        <v>495</v>
      </c>
      <c r="O24" s="33">
        <v>500</v>
      </c>
      <c r="P24" s="17"/>
      <c r="Q24" s="23"/>
    </row>
    <row r="25" spans="1:19" x14ac:dyDescent="0.25">
      <c r="A25" s="38" t="s">
        <v>28</v>
      </c>
      <c r="B25" s="13">
        <f>SUM(B13:B24)</f>
        <v>5052.34</v>
      </c>
      <c r="C25" s="13">
        <f t="shared" ref="C25:M25" si="6">SUM(C13:C24)</f>
        <v>5164.2700000000004</v>
      </c>
      <c r="D25" s="13">
        <f t="shared" si="6"/>
        <v>5885.01</v>
      </c>
      <c r="E25" s="13">
        <f t="shared" si="6"/>
        <v>5921.01</v>
      </c>
      <c r="F25" s="13">
        <f t="shared" si="6"/>
        <v>5639.92</v>
      </c>
      <c r="G25" s="13">
        <f t="shared" si="6"/>
        <v>5571.01</v>
      </c>
      <c r="H25" s="13">
        <f t="shared" si="6"/>
        <v>5606.8</v>
      </c>
      <c r="I25" s="13">
        <f t="shared" si="6"/>
        <v>5573.14</v>
      </c>
      <c r="J25" s="13">
        <f t="shared" si="6"/>
        <v>5573.14</v>
      </c>
      <c r="K25" s="13">
        <f t="shared" si="6"/>
        <v>5573.14</v>
      </c>
      <c r="L25" s="13">
        <f t="shared" si="6"/>
        <v>5573.14</v>
      </c>
      <c r="M25" s="14">
        <f t="shared" si="6"/>
        <v>5573.14</v>
      </c>
      <c r="N25" s="37">
        <f t="shared" si="3"/>
        <v>66706.060000000012</v>
      </c>
      <c r="O25" s="34"/>
      <c r="P25" s="17"/>
      <c r="Q25" s="23"/>
    </row>
    <row r="26" spans="1:19" x14ac:dyDescent="0.25">
      <c r="A26" s="38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4"/>
      <c r="N26" s="13"/>
      <c r="O26" s="33"/>
      <c r="P26" s="17"/>
      <c r="Q26" s="23"/>
    </row>
    <row r="27" spans="1:19" x14ac:dyDescent="0.25">
      <c r="A27" s="38" t="s">
        <v>29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9"/>
      <c r="N27" s="20"/>
      <c r="O27" s="33"/>
      <c r="P27" s="17"/>
      <c r="Q27" s="23"/>
    </row>
    <row r="28" spans="1:19" x14ac:dyDescent="0.25">
      <c r="A28" s="40" t="s">
        <v>30</v>
      </c>
      <c r="B28" s="18"/>
      <c r="C28" s="18"/>
      <c r="D28" s="20">
        <f>2854.25</f>
        <v>2854.25</v>
      </c>
      <c r="E28" s="18"/>
      <c r="F28" s="18"/>
      <c r="G28" s="20">
        <f>771.88</f>
        <v>771.88</v>
      </c>
      <c r="H28" s="18"/>
      <c r="I28" s="18"/>
      <c r="J28" s="20">
        <f>3094.7</f>
        <v>3094.7</v>
      </c>
      <c r="K28" s="18"/>
      <c r="L28" s="18"/>
      <c r="M28" s="19"/>
      <c r="N28" s="20">
        <f t="shared" si="3"/>
        <v>6720.83</v>
      </c>
      <c r="O28" s="33">
        <v>1000</v>
      </c>
      <c r="P28" s="17"/>
      <c r="Q28" s="23" t="s">
        <v>67</v>
      </c>
    </row>
    <row r="29" spans="1:19" x14ac:dyDescent="0.25">
      <c r="A29" s="40" t="s">
        <v>31</v>
      </c>
      <c r="B29" s="20">
        <f>1005</f>
        <v>1005</v>
      </c>
      <c r="C29" s="20">
        <f>330</f>
        <v>330</v>
      </c>
      <c r="D29" s="20">
        <f>406.65</f>
        <v>406.65</v>
      </c>
      <c r="E29" s="18"/>
      <c r="F29" s="18"/>
      <c r="G29" s="18"/>
      <c r="H29" s="18"/>
      <c r="I29" s="18"/>
      <c r="J29" s="18"/>
      <c r="K29" s="18"/>
      <c r="L29" s="20">
        <f>650</f>
        <v>650</v>
      </c>
      <c r="M29" s="21">
        <v>650</v>
      </c>
      <c r="N29" s="20">
        <f t="shared" si="3"/>
        <v>3041.65</v>
      </c>
      <c r="O29" s="33">
        <v>3500</v>
      </c>
      <c r="P29" s="17"/>
      <c r="Q29" s="23" t="s">
        <v>66</v>
      </c>
    </row>
    <row r="30" spans="1:19" x14ac:dyDescent="0.25">
      <c r="A30" s="40" t="s">
        <v>32</v>
      </c>
      <c r="B30" s="20">
        <f>191.19</f>
        <v>191.19</v>
      </c>
      <c r="C30" s="20">
        <f>2395.72</f>
        <v>2395.7199999999998</v>
      </c>
      <c r="D30" s="20">
        <f>882</f>
        <v>882</v>
      </c>
      <c r="E30" s="20">
        <f>1699.72</f>
        <v>1699.72</v>
      </c>
      <c r="F30" s="20">
        <f>348.18</f>
        <v>348.18</v>
      </c>
      <c r="G30" s="20">
        <f>201.64</f>
        <v>201.64</v>
      </c>
      <c r="H30" s="18"/>
      <c r="I30" s="20">
        <f>1218.32</f>
        <v>1218.32</v>
      </c>
      <c r="J30" s="20">
        <f>2107.89</f>
        <v>2107.89</v>
      </c>
      <c r="K30" s="18"/>
      <c r="L30" s="20">
        <f>816</f>
        <v>816</v>
      </c>
      <c r="M30" s="21">
        <v>1000</v>
      </c>
      <c r="N30" s="20">
        <f t="shared" si="3"/>
        <v>10860.66</v>
      </c>
      <c r="O30" s="33">
        <v>17000</v>
      </c>
      <c r="P30" s="17"/>
      <c r="Q30" s="23" t="s">
        <v>68</v>
      </c>
    </row>
    <row r="31" spans="1:19" x14ac:dyDescent="0.25">
      <c r="A31" s="40" t="s">
        <v>33</v>
      </c>
      <c r="B31" s="18"/>
      <c r="C31" s="18"/>
      <c r="D31" s="18"/>
      <c r="E31" s="18"/>
      <c r="F31" s="20">
        <f>1613.72</f>
        <v>1613.72</v>
      </c>
      <c r="G31" s="20">
        <f>1920</f>
        <v>1920</v>
      </c>
      <c r="H31" s="20">
        <f>1380</f>
        <v>1380</v>
      </c>
      <c r="I31" s="20">
        <f>1220</f>
        <v>1220</v>
      </c>
      <c r="J31" s="20">
        <f>850</f>
        <v>850</v>
      </c>
      <c r="K31" s="20">
        <f>160</f>
        <v>160</v>
      </c>
      <c r="L31" s="18">
        <f>SUM(F31:K31)</f>
        <v>7143.72</v>
      </c>
      <c r="M31" s="19"/>
      <c r="N31" s="20">
        <f t="shared" si="3"/>
        <v>14287.44</v>
      </c>
      <c r="O31" s="33">
        <v>7500</v>
      </c>
      <c r="P31" s="17"/>
      <c r="Q31" s="23" t="s">
        <v>64</v>
      </c>
    </row>
    <row r="32" spans="1:19" x14ac:dyDescent="0.25">
      <c r="A32" s="40" t="s">
        <v>34</v>
      </c>
      <c r="B32" s="20">
        <f>301</f>
        <v>301</v>
      </c>
      <c r="C32" s="18"/>
      <c r="D32" s="18"/>
      <c r="E32" s="18"/>
      <c r="F32" s="20">
        <f>650</f>
        <v>650</v>
      </c>
      <c r="G32" s="20">
        <f>951</f>
        <v>951</v>
      </c>
      <c r="H32" s="20">
        <f>1671</f>
        <v>1671</v>
      </c>
      <c r="I32" s="20">
        <f>951</f>
        <v>951</v>
      </c>
      <c r="J32" s="20">
        <f>1596</f>
        <v>1596</v>
      </c>
      <c r="K32" s="20">
        <f>1510.97</f>
        <v>1510.97</v>
      </c>
      <c r="L32" s="18"/>
      <c r="M32" s="19"/>
      <c r="N32" s="20">
        <f t="shared" si="3"/>
        <v>7630.97</v>
      </c>
      <c r="O32" s="33">
        <v>8015</v>
      </c>
      <c r="P32" s="17"/>
      <c r="Q32" s="23" t="s">
        <v>64</v>
      </c>
    </row>
    <row r="33" spans="1:17" x14ac:dyDescent="0.25">
      <c r="A33" s="40" t="s">
        <v>35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9"/>
      <c r="N33" s="20">
        <f t="shared" si="3"/>
        <v>0</v>
      </c>
      <c r="O33" s="33"/>
      <c r="P33" s="17"/>
      <c r="Q33" s="23"/>
    </row>
    <row r="34" spans="1:17" x14ac:dyDescent="0.25">
      <c r="A34" s="40" t="s">
        <v>36</v>
      </c>
      <c r="B34" s="20">
        <f>1167.57</f>
        <v>1167.57</v>
      </c>
      <c r="C34" s="18"/>
      <c r="D34" s="20">
        <f>1167.57</f>
        <v>1167.57</v>
      </c>
      <c r="E34" s="20">
        <f>1167.57</f>
        <v>1167.57</v>
      </c>
      <c r="F34" s="20">
        <f>1167.57</f>
        <v>1167.57</v>
      </c>
      <c r="G34" s="20">
        <f>1167.57</f>
        <v>1167.57</v>
      </c>
      <c r="H34" s="20">
        <f>1167.57</f>
        <v>1167.57</v>
      </c>
      <c r="I34" s="20">
        <f>1173.26</f>
        <v>1173.26</v>
      </c>
      <c r="J34" s="20">
        <f>1127.42</f>
        <v>1127.42</v>
      </c>
      <c r="K34" s="20">
        <f>1127.42</f>
        <v>1127.42</v>
      </c>
      <c r="L34" s="20">
        <f>1127.42</f>
        <v>1127.42</v>
      </c>
      <c r="M34" s="21">
        <v>1127.42</v>
      </c>
      <c r="N34" s="20">
        <f t="shared" si="3"/>
        <v>12688.359999999999</v>
      </c>
      <c r="O34" s="33">
        <v>13325</v>
      </c>
      <c r="P34" s="17"/>
      <c r="Q34" s="23" t="s">
        <v>64</v>
      </c>
    </row>
    <row r="35" spans="1:17" x14ac:dyDescent="0.25">
      <c r="A35" s="40" t="s">
        <v>37</v>
      </c>
      <c r="B35" s="20">
        <f>1411.93</f>
        <v>1411.93</v>
      </c>
      <c r="C35" s="20">
        <f>1499.17</f>
        <v>1499.17</v>
      </c>
      <c r="D35" s="20">
        <f>1433.81</f>
        <v>1433.81</v>
      </c>
      <c r="E35" s="20">
        <f>1873.11</f>
        <v>1873.11</v>
      </c>
      <c r="F35" s="20">
        <f>2060.62</f>
        <v>2060.62</v>
      </c>
      <c r="G35" s="20">
        <f>2498.24</f>
        <v>2498.2399999999998</v>
      </c>
      <c r="H35" s="20">
        <f>3737.46</f>
        <v>3737.46</v>
      </c>
      <c r="I35" s="20">
        <f>4133.85</f>
        <v>4133.8500000000004</v>
      </c>
      <c r="J35" s="20">
        <f>4101.17</f>
        <v>4101.17</v>
      </c>
      <c r="K35" s="20">
        <f>2981.51</f>
        <v>2981.51</v>
      </c>
      <c r="L35" s="20">
        <f>2565.37</f>
        <v>2565.37</v>
      </c>
      <c r="M35" s="21">
        <v>2565.37</v>
      </c>
      <c r="N35" s="20">
        <f>SUM(B35:M35)</f>
        <v>30861.61</v>
      </c>
      <c r="O35" s="33">
        <v>32405</v>
      </c>
      <c r="P35" s="17"/>
      <c r="Q35" s="23" t="s">
        <v>64</v>
      </c>
    </row>
    <row r="36" spans="1:17" x14ac:dyDescent="0.25">
      <c r="A36" s="40" t="s">
        <v>38</v>
      </c>
      <c r="B36" s="20">
        <f>718.58</f>
        <v>718.58</v>
      </c>
      <c r="C36" s="18"/>
      <c r="D36" s="20">
        <f t="shared" ref="D36:I36" si="7">718.58</f>
        <v>718.58</v>
      </c>
      <c r="E36" s="20">
        <f t="shared" si="7"/>
        <v>718.58</v>
      </c>
      <c r="F36" s="20">
        <f t="shared" si="7"/>
        <v>718.58</v>
      </c>
      <c r="G36" s="20">
        <f t="shared" si="7"/>
        <v>718.58</v>
      </c>
      <c r="H36" s="20">
        <f t="shared" si="7"/>
        <v>718.58</v>
      </c>
      <c r="I36" s="20">
        <f t="shared" si="7"/>
        <v>718.58</v>
      </c>
      <c r="J36" s="20">
        <f>764.42</f>
        <v>764.42</v>
      </c>
      <c r="K36" s="20">
        <f>764.42</f>
        <v>764.42</v>
      </c>
      <c r="L36" s="20">
        <f>764.42</f>
        <v>764.42</v>
      </c>
      <c r="M36" s="21">
        <v>764.42</v>
      </c>
      <c r="N36" s="20">
        <f t="shared" si="3"/>
        <v>8087.7400000000007</v>
      </c>
      <c r="O36" s="33">
        <v>8500</v>
      </c>
      <c r="P36" s="17"/>
      <c r="Q36" s="23" t="s">
        <v>64</v>
      </c>
    </row>
    <row r="37" spans="1:17" x14ac:dyDescent="0.25">
      <c r="A37" s="40" t="s">
        <v>39</v>
      </c>
      <c r="B37" s="20">
        <f t="shared" ref="B37:G37" si="8">901.8</f>
        <v>901.8</v>
      </c>
      <c r="C37" s="20">
        <f t="shared" si="8"/>
        <v>901.8</v>
      </c>
      <c r="D37" s="20">
        <f t="shared" si="8"/>
        <v>901.8</v>
      </c>
      <c r="E37" s="20">
        <f t="shared" si="8"/>
        <v>901.8</v>
      </c>
      <c r="F37" s="20">
        <f t="shared" si="8"/>
        <v>901.8</v>
      </c>
      <c r="G37" s="20">
        <f t="shared" si="8"/>
        <v>901.8</v>
      </c>
      <c r="H37" s="20">
        <f>935.2</f>
        <v>935.2</v>
      </c>
      <c r="I37" s="20">
        <f t="shared" ref="I37:M37" si="9">935.2</f>
        <v>935.2</v>
      </c>
      <c r="J37" s="20">
        <f t="shared" si="9"/>
        <v>935.2</v>
      </c>
      <c r="K37" s="20">
        <f t="shared" si="9"/>
        <v>935.2</v>
      </c>
      <c r="L37" s="20">
        <f t="shared" si="9"/>
        <v>935.2</v>
      </c>
      <c r="M37" s="21">
        <f t="shared" si="9"/>
        <v>935.2</v>
      </c>
      <c r="N37" s="20">
        <f>SUM(B37:M37)</f>
        <v>11022.000000000002</v>
      </c>
      <c r="O37" s="33">
        <v>11600</v>
      </c>
      <c r="P37" s="17"/>
      <c r="Q37" s="23" t="s">
        <v>64</v>
      </c>
    </row>
    <row r="38" spans="1:17" x14ac:dyDescent="0.25">
      <c r="A38" s="40" t="s">
        <v>40</v>
      </c>
      <c r="B38" s="20">
        <f>1594.47</f>
        <v>1594.47</v>
      </c>
      <c r="C38" s="18"/>
      <c r="D38" s="18"/>
      <c r="E38" s="18"/>
      <c r="F38" s="20">
        <f>820.95</f>
        <v>820.95</v>
      </c>
      <c r="G38" s="20">
        <f>1085.32</f>
        <v>1085.32</v>
      </c>
      <c r="H38" s="20">
        <f>473.03</f>
        <v>473.03</v>
      </c>
      <c r="I38" s="18"/>
      <c r="J38" s="20">
        <f>1103.88</f>
        <v>1103.8800000000001</v>
      </c>
      <c r="K38" s="20">
        <f>600</f>
        <v>600</v>
      </c>
      <c r="L38" s="20">
        <f>600</f>
        <v>600</v>
      </c>
      <c r="M38" s="21">
        <v>600</v>
      </c>
      <c r="N38" s="20">
        <v>6632.29</v>
      </c>
      <c r="O38" s="33">
        <v>7000</v>
      </c>
      <c r="P38" s="17"/>
      <c r="Q38" s="23" t="s">
        <v>64</v>
      </c>
    </row>
    <row r="39" spans="1:17" x14ac:dyDescent="0.25">
      <c r="A39" s="40" t="s">
        <v>41</v>
      </c>
      <c r="B39" s="20">
        <f>2320.98</f>
        <v>2320.98</v>
      </c>
      <c r="C39" s="20">
        <f t="shared" ref="C39:H39" si="10">773.66</f>
        <v>773.66</v>
      </c>
      <c r="D39" s="20">
        <f t="shared" si="10"/>
        <v>773.66</v>
      </c>
      <c r="E39" s="20">
        <f t="shared" si="10"/>
        <v>773.66</v>
      </c>
      <c r="F39" s="20">
        <f t="shared" si="10"/>
        <v>773.66</v>
      </c>
      <c r="G39" s="20">
        <f t="shared" si="10"/>
        <v>773.66</v>
      </c>
      <c r="H39" s="20">
        <f t="shared" si="10"/>
        <v>773.66</v>
      </c>
      <c r="I39" s="20">
        <f>835.11</f>
        <v>835.11</v>
      </c>
      <c r="J39" s="20">
        <f>804.38</f>
        <v>804.38</v>
      </c>
      <c r="K39" s="20">
        <f>804.39</f>
        <v>804.39</v>
      </c>
      <c r="L39" s="20">
        <f>804.38</f>
        <v>804.38</v>
      </c>
      <c r="M39" s="21">
        <v>804.38</v>
      </c>
      <c r="N39" s="20">
        <v>9468.27</v>
      </c>
      <c r="O39" s="33">
        <v>10000</v>
      </c>
      <c r="P39" s="17"/>
      <c r="Q39" s="23" t="s">
        <v>64</v>
      </c>
    </row>
    <row r="40" spans="1:17" x14ac:dyDescent="0.25">
      <c r="A40" s="38" t="s">
        <v>42</v>
      </c>
      <c r="B40" s="13">
        <f>SUM(B34:B39)</f>
        <v>8115.33</v>
      </c>
      <c r="C40" s="13">
        <f t="shared" ref="C40:M40" si="11">SUM(C34:C39)</f>
        <v>3174.63</v>
      </c>
      <c r="D40" s="13">
        <f t="shared" si="11"/>
        <v>4995.42</v>
      </c>
      <c r="E40" s="13">
        <f t="shared" si="11"/>
        <v>5434.7199999999993</v>
      </c>
      <c r="F40" s="13">
        <f t="shared" si="11"/>
        <v>6443.1799999999994</v>
      </c>
      <c r="G40" s="13">
        <f t="shared" si="11"/>
        <v>7145.1699999999992</v>
      </c>
      <c r="H40" s="13">
        <f t="shared" si="11"/>
        <v>7805.4999999999991</v>
      </c>
      <c r="I40" s="13">
        <f t="shared" si="11"/>
        <v>7796</v>
      </c>
      <c r="J40" s="13">
        <f t="shared" si="11"/>
        <v>8836.4699999999993</v>
      </c>
      <c r="K40" s="13">
        <f t="shared" si="11"/>
        <v>7212.9400000000005</v>
      </c>
      <c r="L40" s="13">
        <f t="shared" si="11"/>
        <v>6796.79</v>
      </c>
      <c r="M40" s="14">
        <f t="shared" si="11"/>
        <v>6796.79</v>
      </c>
      <c r="N40" s="37">
        <f t="shared" si="3"/>
        <v>80552.939999999988</v>
      </c>
      <c r="O40" s="34"/>
      <c r="P40" s="17"/>
      <c r="Q40" s="23"/>
    </row>
    <row r="41" spans="1:17" x14ac:dyDescent="0.25">
      <c r="A41" s="38" t="s">
        <v>43</v>
      </c>
      <c r="B41" s="13">
        <f>SUM(B28:B32)+B40</f>
        <v>9612.52</v>
      </c>
      <c r="C41" s="13">
        <f t="shared" ref="C41:M41" si="12">SUM(C28:C32)+C40</f>
        <v>5900.35</v>
      </c>
      <c r="D41" s="13">
        <f t="shared" si="12"/>
        <v>9138.32</v>
      </c>
      <c r="E41" s="13">
        <f t="shared" si="12"/>
        <v>7134.44</v>
      </c>
      <c r="F41" s="13">
        <f t="shared" si="12"/>
        <v>9055.08</v>
      </c>
      <c r="G41" s="13">
        <f t="shared" si="12"/>
        <v>10989.689999999999</v>
      </c>
      <c r="H41" s="13">
        <f t="shared" si="12"/>
        <v>10856.5</v>
      </c>
      <c r="I41" s="13">
        <f t="shared" si="12"/>
        <v>11185.32</v>
      </c>
      <c r="J41" s="13">
        <f t="shared" si="12"/>
        <v>16485.059999999998</v>
      </c>
      <c r="K41" s="13">
        <f t="shared" si="12"/>
        <v>8883.91</v>
      </c>
      <c r="L41" s="13">
        <f t="shared" si="12"/>
        <v>15406.510000000002</v>
      </c>
      <c r="M41" s="14">
        <f t="shared" si="12"/>
        <v>8446.7900000000009</v>
      </c>
      <c r="N41" s="37">
        <f t="shared" si="3"/>
        <v>123094.49000000002</v>
      </c>
      <c r="O41" s="34"/>
      <c r="P41" s="17"/>
      <c r="Q41" s="23"/>
    </row>
    <row r="42" spans="1:17" x14ac:dyDescent="0.25">
      <c r="A42" s="38" t="s">
        <v>44</v>
      </c>
      <c r="B42" s="13">
        <f>B41+B25</f>
        <v>14664.86</v>
      </c>
      <c r="C42" s="13">
        <f t="shared" ref="C42:M42" si="13">C41+C25</f>
        <v>11064.62</v>
      </c>
      <c r="D42" s="13">
        <f t="shared" si="13"/>
        <v>15023.33</v>
      </c>
      <c r="E42" s="13">
        <f t="shared" si="13"/>
        <v>13055.45</v>
      </c>
      <c r="F42" s="13">
        <f t="shared" si="13"/>
        <v>14695</v>
      </c>
      <c r="G42" s="13">
        <f t="shared" si="13"/>
        <v>16560.699999999997</v>
      </c>
      <c r="H42" s="13">
        <f t="shared" si="13"/>
        <v>16463.3</v>
      </c>
      <c r="I42" s="13">
        <f t="shared" si="13"/>
        <v>16758.46</v>
      </c>
      <c r="J42" s="13">
        <f t="shared" si="13"/>
        <v>22058.199999999997</v>
      </c>
      <c r="K42" s="13">
        <f t="shared" si="13"/>
        <v>14457.05</v>
      </c>
      <c r="L42" s="13">
        <f t="shared" si="13"/>
        <v>20979.65</v>
      </c>
      <c r="M42" s="14">
        <f t="shared" si="13"/>
        <v>14019.93</v>
      </c>
      <c r="N42" s="37">
        <f t="shared" si="3"/>
        <v>189800.54999999996</v>
      </c>
      <c r="O42" s="35">
        <f>SUM(O13:O41)</f>
        <v>189634</v>
      </c>
      <c r="P42" s="17"/>
      <c r="Q42" s="23"/>
    </row>
    <row r="43" spans="1:17" x14ac:dyDescent="0.25">
      <c r="A43" s="38" t="s">
        <v>45</v>
      </c>
      <c r="B43" s="13">
        <f>(B10)-(B42)</f>
        <v>3785.3199999999997</v>
      </c>
      <c r="C43" s="13">
        <f t="shared" ref="C43:M43" si="14">(C10)-(C42)</f>
        <v>4560.5599999999977</v>
      </c>
      <c r="D43" s="13">
        <f t="shared" si="14"/>
        <v>628.09000000000015</v>
      </c>
      <c r="E43" s="13">
        <f t="shared" si="14"/>
        <v>2569.3499999999985</v>
      </c>
      <c r="F43" s="13">
        <f t="shared" si="14"/>
        <v>954.79999999999927</v>
      </c>
      <c r="G43" s="13">
        <f t="shared" si="14"/>
        <v>-860.89999999999782</v>
      </c>
      <c r="H43" s="13">
        <f t="shared" si="14"/>
        <v>-838.5</v>
      </c>
      <c r="I43" s="13">
        <f t="shared" si="14"/>
        <v>-1108.6599999999999</v>
      </c>
      <c r="J43" s="13">
        <f t="shared" si="14"/>
        <v>-6433.3999999999978</v>
      </c>
      <c r="K43" s="13">
        <f t="shared" si="14"/>
        <v>1192.75</v>
      </c>
      <c r="L43" s="13">
        <f t="shared" si="14"/>
        <v>-5354.8500000000022</v>
      </c>
      <c r="M43" s="14">
        <f t="shared" si="14"/>
        <v>1604.869999999999</v>
      </c>
      <c r="N43" s="37">
        <f t="shared" si="3"/>
        <v>699.42999999999665</v>
      </c>
      <c r="O43" s="34">
        <f>O7-O42</f>
        <v>0</v>
      </c>
      <c r="P43" s="17"/>
      <c r="Q43" s="23"/>
    </row>
    <row r="44" spans="1:17" x14ac:dyDescent="0.25">
      <c r="A44" s="38"/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4"/>
      <c r="N44" s="13"/>
      <c r="O44" s="33"/>
      <c r="P44" s="17"/>
      <c r="Q44" s="23"/>
    </row>
    <row r="45" spans="1:17" x14ac:dyDescent="0.25">
      <c r="A45" s="38" t="s">
        <v>46</v>
      </c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9"/>
      <c r="N45" s="18"/>
      <c r="O45" s="33"/>
      <c r="P45" s="17"/>
      <c r="Q45" s="23"/>
    </row>
    <row r="46" spans="1:17" x14ac:dyDescent="0.25">
      <c r="A46" s="40" t="s">
        <v>47</v>
      </c>
      <c r="B46" s="20">
        <f>1548</f>
        <v>1548</v>
      </c>
      <c r="C46" s="20">
        <f>1548</f>
        <v>1548</v>
      </c>
      <c r="D46" s="20">
        <f>1548</f>
        <v>1548</v>
      </c>
      <c r="E46" s="20">
        <f>1548</f>
        <v>1548</v>
      </c>
      <c r="F46" s="20">
        <f>1548</f>
        <v>1548</v>
      </c>
      <c r="G46" s="20">
        <f>1548</f>
        <v>1548</v>
      </c>
      <c r="H46" s="20">
        <f>1548</f>
        <v>1548</v>
      </c>
      <c r="I46" s="20">
        <f>1548</f>
        <v>1548</v>
      </c>
      <c r="J46" s="20">
        <f>1548</f>
        <v>1548</v>
      </c>
      <c r="K46" s="20">
        <f>1548</f>
        <v>1548</v>
      </c>
      <c r="L46" s="20">
        <f>1548</f>
        <v>1548</v>
      </c>
      <c r="M46" s="21">
        <f>1548</f>
        <v>1548</v>
      </c>
      <c r="N46" s="20">
        <f t="shared" si="3"/>
        <v>18576</v>
      </c>
      <c r="O46" s="33">
        <f>'Dues Allocation'!H38</f>
        <v>23436.000000000004</v>
      </c>
      <c r="P46" s="17"/>
      <c r="Q46" s="23"/>
    </row>
    <row r="47" spans="1:17" x14ac:dyDescent="0.25">
      <c r="A47" s="40" t="s">
        <v>97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1"/>
      <c r="N47" s="20"/>
      <c r="O47" s="33">
        <v>333853.18</v>
      </c>
      <c r="P47" s="17"/>
      <c r="Q47" s="23" t="s">
        <v>98</v>
      </c>
    </row>
    <row r="48" spans="1:17" x14ac:dyDescent="0.25">
      <c r="A48" s="40" t="s">
        <v>48</v>
      </c>
      <c r="B48" s="20">
        <f>0.99</f>
        <v>0.99</v>
      </c>
      <c r="C48" s="20">
        <f>0.46</f>
        <v>0.46</v>
      </c>
      <c r="D48" s="20">
        <f>1.61</f>
        <v>1.61</v>
      </c>
      <c r="E48" s="20">
        <f>7.13</f>
        <v>7.13</v>
      </c>
      <c r="F48" s="20">
        <f>7.38</f>
        <v>7.38</v>
      </c>
      <c r="G48" s="20">
        <f>10.52</f>
        <v>10.52</v>
      </c>
      <c r="H48" s="20">
        <f>17.61</f>
        <v>17.61</v>
      </c>
      <c r="I48" s="20">
        <f>15.91</f>
        <v>15.91</v>
      </c>
      <c r="J48" s="20">
        <f>18.75</f>
        <v>18.75</v>
      </c>
      <c r="K48" s="20">
        <f>15.92</f>
        <v>15.92</v>
      </c>
      <c r="L48" s="20">
        <f>13.79</f>
        <v>13.79</v>
      </c>
      <c r="M48" s="21"/>
      <c r="N48" s="20">
        <f t="shared" si="3"/>
        <v>110.07</v>
      </c>
      <c r="O48" s="33"/>
      <c r="P48" s="17"/>
      <c r="Q48" s="23"/>
    </row>
    <row r="49" spans="1:17" ht="30" x14ac:dyDescent="0.25">
      <c r="A49" s="40" t="s">
        <v>49</v>
      </c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20">
        <f>369500.01</f>
        <v>369500.01</v>
      </c>
      <c r="M49" s="21"/>
      <c r="N49" s="20">
        <f t="shared" si="3"/>
        <v>369500.01</v>
      </c>
      <c r="O49" s="33">
        <v>369500</v>
      </c>
      <c r="P49" s="17"/>
      <c r="Q49" s="23" t="s">
        <v>96</v>
      </c>
    </row>
    <row r="50" spans="1:17" x14ac:dyDescent="0.25">
      <c r="A50" s="40" t="s">
        <v>50</v>
      </c>
      <c r="B50" s="20">
        <f>2800</f>
        <v>2800</v>
      </c>
      <c r="C50" s="20">
        <f>2800</f>
        <v>2800</v>
      </c>
      <c r="D50" s="20">
        <f>1400</f>
        <v>1400</v>
      </c>
      <c r="E50" s="20">
        <f>2800</f>
        <v>2800</v>
      </c>
      <c r="F50" s="20">
        <f>2800</f>
        <v>2800</v>
      </c>
      <c r="G50" s="20">
        <f>2800</f>
        <v>2800</v>
      </c>
      <c r="H50" s="20">
        <f>5600</f>
        <v>5600</v>
      </c>
      <c r="I50" s="20">
        <f>5600</f>
        <v>5600</v>
      </c>
      <c r="J50" s="20">
        <f>2800</f>
        <v>2800</v>
      </c>
      <c r="K50" s="20">
        <f>2800</f>
        <v>2800</v>
      </c>
      <c r="L50" s="20">
        <f>2800</f>
        <v>2800</v>
      </c>
      <c r="M50" s="21">
        <f>2800</f>
        <v>2800</v>
      </c>
      <c r="N50" s="20">
        <f t="shared" si="3"/>
        <v>37800</v>
      </c>
      <c r="O50" s="33">
        <v>0</v>
      </c>
      <c r="P50" s="17"/>
      <c r="Q50" s="23" t="s">
        <v>69</v>
      </c>
    </row>
    <row r="51" spans="1:17" x14ac:dyDescent="0.25">
      <c r="A51" s="38" t="s">
        <v>51</v>
      </c>
      <c r="B51" s="11">
        <f>SUM(B46:B50)</f>
        <v>4348.99</v>
      </c>
      <c r="C51" s="11">
        <f t="shared" ref="C51:M51" si="15">SUM(C46:C50)</f>
        <v>4348.46</v>
      </c>
      <c r="D51" s="11">
        <f t="shared" si="15"/>
        <v>2949.6099999999997</v>
      </c>
      <c r="E51" s="11">
        <f t="shared" si="15"/>
        <v>4355.13</v>
      </c>
      <c r="F51" s="11">
        <f t="shared" si="15"/>
        <v>4355.38</v>
      </c>
      <c r="G51" s="11">
        <f t="shared" si="15"/>
        <v>4358.5200000000004</v>
      </c>
      <c r="H51" s="11">
        <f t="shared" si="15"/>
        <v>7165.61</v>
      </c>
      <c r="I51" s="11">
        <f t="shared" si="15"/>
        <v>7163.91</v>
      </c>
      <c r="J51" s="11">
        <f t="shared" si="15"/>
        <v>4366.75</v>
      </c>
      <c r="K51" s="11">
        <f t="shared" si="15"/>
        <v>4363.92</v>
      </c>
      <c r="L51" s="11">
        <f t="shared" si="15"/>
        <v>373861.8</v>
      </c>
      <c r="M51" s="12">
        <f t="shared" si="15"/>
        <v>4348</v>
      </c>
      <c r="N51" s="37">
        <f t="shared" si="3"/>
        <v>425986.07999999996</v>
      </c>
      <c r="O51" s="35">
        <f>SUM(O46:O50)</f>
        <v>726789.17999999993</v>
      </c>
      <c r="P51" s="17"/>
      <c r="Q51" s="23"/>
    </row>
    <row r="52" spans="1:17" x14ac:dyDescent="0.25">
      <c r="A52" s="40" t="s">
        <v>52</v>
      </c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9"/>
      <c r="N52" s="18">
        <f t="shared" si="3"/>
        <v>0</v>
      </c>
      <c r="O52" s="33"/>
      <c r="P52" s="17"/>
      <c r="Q52" s="23"/>
    </row>
    <row r="53" spans="1:17" x14ac:dyDescent="0.25">
      <c r="A53" s="40" t="s">
        <v>53</v>
      </c>
      <c r="B53" s="20">
        <f>3000</f>
        <v>3000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9"/>
      <c r="N53" s="20">
        <f t="shared" si="3"/>
        <v>3000</v>
      </c>
      <c r="O53" s="33"/>
      <c r="P53" s="17"/>
      <c r="Q53" s="23"/>
    </row>
    <row r="54" spans="1:17" x14ac:dyDescent="0.25">
      <c r="A54" s="40" t="s">
        <v>54</v>
      </c>
      <c r="B54" s="20">
        <f>21084.97</f>
        <v>21084.97</v>
      </c>
      <c r="C54" s="18"/>
      <c r="D54" s="20">
        <f>1500</f>
        <v>1500</v>
      </c>
      <c r="E54" s="20">
        <f>6900</f>
        <v>6900</v>
      </c>
      <c r="F54" s="18"/>
      <c r="G54" s="18"/>
      <c r="H54" s="18"/>
      <c r="I54" s="18"/>
      <c r="J54" s="18"/>
      <c r="K54" s="18"/>
      <c r="L54" s="20">
        <v>369500</v>
      </c>
      <c r="M54" s="21"/>
      <c r="N54" s="20">
        <f t="shared" si="3"/>
        <v>398984.97</v>
      </c>
      <c r="O54" s="33">
        <v>400000</v>
      </c>
      <c r="P54" s="17"/>
      <c r="Q54" s="23" t="s">
        <v>100</v>
      </c>
    </row>
    <row r="55" spans="1:17" x14ac:dyDescent="0.25">
      <c r="A55" s="40" t="s">
        <v>55</v>
      </c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9"/>
      <c r="N55" s="20">
        <f t="shared" si="3"/>
        <v>0</v>
      </c>
      <c r="O55" s="33"/>
      <c r="P55" s="17"/>
      <c r="Q55" s="23"/>
    </row>
    <row r="56" spans="1:17" x14ac:dyDescent="0.25">
      <c r="A56" s="40" t="s">
        <v>56</v>
      </c>
      <c r="B56" s="18"/>
      <c r="C56" s="18"/>
      <c r="D56" s="20">
        <f>257</f>
        <v>257</v>
      </c>
      <c r="E56" s="18"/>
      <c r="F56" s="18"/>
      <c r="G56" s="18"/>
      <c r="H56" s="18"/>
      <c r="I56" s="18"/>
      <c r="J56" s="18"/>
      <c r="K56" s="18"/>
      <c r="L56" s="18"/>
      <c r="M56" s="19"/>
      <c r="N56" s="20">
        <f t="shared" si="3"/>
        <v>257</v>
      </c>
      <c r="O56" s="33"/>
      <c r="P56" s="17"/>
      <c r="Q56" s="23"/>
    </row>
    <row r="57" spans="1:17" x14ac:dyDescent="0.25">
      <c r="A57" s="40" t="s">
        <v>57</v>
      </c>
      <c r="B57" s="20">
        <f>5887.66</f>
        <v>5887.66</v>
      </c>
      <c r="C57" s="20">
        <f t="shared" ref="C57:M57" si="16">2803.65</f>
        <v>2803.65</v>
      </c>
      <c r="D57" s="20">
        <f t="shared" si="16"/>
        <v>2803.65</v>
      </c>
      <c r="E57" s="20">
        <f t="shared" si="16"/>
        <v>2803.65</v>
      </c>
      <c r="F57" s="20">
        <f t="shared" si="16"/>
        <v>2803.65</v>
      </c>
      <c r="G57" s="20">
        <f t="shared" si="16"/>
        <v>2803.65</v>
      </c>
      <c r="H57" s="20">
        <f t="shared" si="16"/>
        <v>2803.65</v>
      </c>
      <c r="I57" s="20">
        <f t="shared" si="16"/>
        <v>2803.65</v>
      </c>
      <c r="J57" s="20">
        <f t="shared" si="16"/>
        <v>2803.65</v>
      </c>
      <c r="K57" s="20">
        <f t="shared" si="16"/>
        <v>2803.65</v>
      </c>
      <c r="L57" s="20">
        <f t="shared" si="16"/>
        <v>2803.65</v>
      </c>
      <c r="M57" s="21">
        <f t="shared" si="16"/>
        <v>2803.65</v>
      </c>
      <c r="N57" s="20">
        <f t="shared" si="3"/>
        <v>36727.810000000005</v>
      </c>
      <c r="O57" s="33"/>
      <c r="P57" s="17"/>
      <c r="Q57" s="23" t="s">
        <v>69</v>
      </c>
    </row>
    <row r="58" spans="1:17" x14ac:dyDescent="0.25">
      <c r="A58" s="40" t="s">
        <v>58</v>
      </c>
      <c r="B58" s="20">
        <f>1399.34</f>
        <v>1399.34</v>
      </c>
      <c r="C58" s="20">
        <f t="shared" ref="C58:M58" si="17">199.91</f>
        <v>199.91</v>
      </c>
      <c r="D58" s="20">
        <f t="shared" si="17"/>
        <v>199.91</v>
      </c>
      <c r="E58" s="20">
        <f t="shared" si="17"/>
        <v>199.91</v>
      </c>
      <c r="F58" s="20">
        <f t="shared" si="17"/>
        <v>199.91</v>
      </c>
      <c r="G58" s="20">
        <f t="shared" si="17"/>
        <v>199.91</v>
      </c>
      <c r="H58" s="20">
        <f t="shared" si="17"/>
        <v>199.91</v>
      </c>
      <c r="I58" s="20">
        <f t="shared" si="17"/>
        <v>199.91</v>
      </c>
      <c r="J58" s="20">
        <f t="shared" si="17"/>
        <v>199.91</v>
      </c>
      <c r="K58" s="20">
        <f t="shared" si="17"/>
        <v>199.91</v>
      </c>
      <c r="L58" s="20">
        <f t="shared" si="17"/>
        <v>199.91</v>
      </c>
      <c r="M58" s="21">
        <f t="shared" si="17"/>
        <v>199.91</v>
      </c>
      <c r="N58" s="20">
        <f t="shared" si="3"/>
        <v>3598.349999999999</v>
      </c>
      <c r="O58" s="33"/>
      <c r="P58" s="17"/>
      <c r="Q58" s="23" t="s">
        <v>69</v>
      </c>
    </row>
    <row r="59" spans="1:17" x14ac:dyDescent="0.25">
      <c r="A59" s="38" t="s">
        <v>59</v>
      </c>
      <c r="B59" s="11">
        <f>SUM(B56:B58)</f>
        <v>7287</v>
      </c>
      <c r="C59" s="11">
        <f t="shared" ref="C59:M59" si="18">SUM(C56:C58)</f>
        <v>3003.56</v>
      </c>
      <c r="D59" s="11">
        <f t="shared" si="18"/>
        <v>3260.56</v>
      </c>
      <c r="E59" s="11">
        <f t="shared" si="18"/>
        <v>3003.56</v>
      </c>
      <c r="F59" s="11">
        <f t="shared" si="18"/>
        <v>3003.56</v>
      </c>
      <c r="G59" s="11">
        <f t="shared" si="18"/>
        <v>3003.56</v>
      </c>
      <c r="H59" s="11">
        <f t="shared" si="18"/>
        <v>3003.56</v>
      </c>
      <c r="I59" s="11">
        <f t="shared" si="18"/>
        <v>3003.56</v>
      </c>
      <c r="J59" s="11">
        <f t="shared" si="18"/>
        <v>3003.56</v>
      </c>
      <c r="K59" s="11">
        <f t="shared" si="18"/>
        <v>3003.56</v>
      </c>
      <c r="L59" s="11">
        <f t="shared" si="18"/>
        <v>3003.56</v>
      </c>
      <c r="M59" s="12">
        <f t="shared" si="18"/>
        <v>3003.56</v>
      </c>
      <c r="N59" s="37">
        <f t="shared" si="3"/>
        <v>40583.160000000003</v>
      </c>
      <c r="O59" s="34"/>
      <c r="P59" s="17"/>
      <c r="Q59" s="23"/>
    </row>
    <row r="60" spans="1:17" x14ac:dyDescent="0.25">
      <c r="A60" s="38" t="s">
        <v>60</v>
      </c>
      <c r="B60" s="11">
        <f>SUM(B53:B54)+B59</f>
        <v>31371.97</v>
      </c>
      <c r="C60" s="11">
        <f t="shared" ref="C60:M60" si="19">SUM(C53:C54)+C59</f>
        <v>3003.56</v>
      </c>
      <c r="D60" s="11">
        <f t="shared" si="19"/>
        <v>4760.5599999999995</v>
      </c>
      <c r="E60" s="11">
        <f t="shared" si="19"/>
        <v>9903.56</v>
      </c>
      <c r="F60" s="11">
        <f t="shared" si="19"/>
        <v>3003.56</v>
      </c>
      <c r="G60" s="11">
        <f t="shared" si="19"/>
        <v>3003.56</v>
      </c>
      <c r="H60" s="11">
        <f t="shared" si="19"/>
        <v>3003.56</v>
      </c>
      <c r="I60" s="11">
        <f t="shared" si="19"/>
        <v>3003.56</v>
      </c>
      <c r="J60" s="11">
        <f t="shared" si="19"/>
        <v>3003.56</v>
      </c>
      <c r="K60" s="11">
        <f t="shared" si="19"/>
        <v>3003.56</v>
      </c>
      <c r="L60" s="11">
        <f t="shared" si="19"/>
        <v>372503.56</v>
      </c>
      <c r="M60" s="12">
        <f t="shared" si="19"/>
        <v>3003.56</v>
      </c>
      <c r="N60" s="37">
        <f t="shared" si="3"/>
        <v>442568.12999999995</v>
      </c>
      <c r="O60" s="35">
        <f>O54</f>
        <v>400000</v>
      </c>
      <c r="P60" s="17"/>
      <c r="Q60" s="23"/>
    </row>
    <row r="61" spans="1:17" x14ac:dyDescent="0.25">
      <c r="A61" s="41" t="s">
        <v>61</v>
      </c>
      <c r="B61" s="22">
        <f t="shared" ref="B61:M61" si="20">(B51)-(B60)</f>
        <v>-27022.980000000003</v>
      </c>
      <c r="C61" s="22">
        <f t="shared" si="20"/>
        <v>1344.9</v>
      </c>
      <c r="D61" s="22">
        <f t="shared" si="20"/>
        <v>-1810.9499999999998</v>
      </c>
      <c r="E61" s="22">
        <f t="shared" si="20"/>
        <v>-5548.4299999999994</v>
      </c>
      <c r="F61" s="22">
        <f t="shared" si="20"/>
        <v>1351.8200000000002</v>
      </c>
      <c r="G61" s="22">
        <f t="shared" si="20"/>
        <v>1354.9600000000005</v>
      </c>
      <c r="H61" s="22">
        <f t="shared" si="20"/>
        <v>4162.0499999999993</v>
      </c>
      <c r="I61" s="22">
        <f t="shared" si="20"/>
        <v>4160.3500000000004</v>
      </c>
      <c r="J61" s="22">
        <f t="shared" si="20"/>
        <v>1363.19</v>
      </c>
      <c r="K61" s="22">
        <f t="shared" si="20"/>
        <v>1360.3600000000001</v>
      </c>
      <c r="L61" s="22">
        <f t="shared" si="20"/>
        <v>1358.2399999999907</v>
      </c>
      <c r="M61" s="24">
        <f t="shared" si="20"/>
        <v>1344.44</v>
      </c>
      <c r="N61" s="37">
        <f t="shared" si="3"/>
        <v>-16582.05000000001</v>
      </c>
      <c r="O61" s="35">
        <f>O51-O60</f>
        <v>326789.17999999993</v>
      </c>
      <c r="P61" s="25"/>
      <c r="Q61" s="26" t="s">
        <v>99</v>
      </c>
    </row>
  </sheetData>
  <mergeCells count="3">
    <mergeCell ref="A1:Q1"/>
    <mergeCell ref="A2:Q2"/>
    <mergeCell ref="A3:Q3"/>
  </mergeCells>
  <printOptions horizontalCentered="1" verticalCentered="1"/>
  <pageMargins left="0.7" right="0.7" top="0.75" bottom="0.75" header="0.3" footer="0.3"/>
  <pageSetup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55181-705D-4132-99A4-2C095AE4FFA2}">
  <dimension ref="A1:K95"/>
  <sheetViews>
    <sheetView workbookViewId="0">
      <pane ySplit="1" topLeftCell="A62" activePane="bottomLeft" state="frozen"/>
      <selection pane="bottomLeft" activeCell="F79" sqref="F79"/>
    </sheetView>
  </sheetViews>
  <sheetFormatPr defaultRowHeight="15" x14ac:dyDescent="0.25"/>
  <cols>
    <col min="1" max="1" width="51.140625" bestFit="1" customWidth="1"/>
    <col min="2" max="5" width="28.140625" hidden="1" customWidth="1"/>
    <col min="6" max="9" width="28.140625" customWidth="1"/>
    <col min="10" max="10" width="34.7109375" bestFit="1" customWidth="1"/>
  </cols>
  <sheetData>
    <row r="1" spans="1:11" ht="16.5" x14ac:dyDescent="0.25">
      <c r="A1" s="42" t="s">
        <v>103</v>
      </c>
      <c r="B1" s="42" t="s">
        <v>221</v>
      </c>
      <c r="C1" s="42" t="s">
        <v>222</v>
      </c>
      <c r="D1" s="42" t="s">
        <v>223</v>
      </c>
      <c r="E1" s="42" t="s">
        <v>224</v>
      </c>
      <c r="F1" s="42" t="s">
        <v>225</v>
      </c>
      <c r="G1" s="42" t="s">
        <v>226</v>
      </c>
      <c r="H1" s="42" t="s">
        <v>227</v>
      </c>
      <c r="I1" s="42" t="s">
        <v>228</v>
      </c>
      <c r="J1" s="42" t="s">
        <v>229</v>
      </c>
    </row>
    <row r="2" spans="1:11" ht="15.75" x14ac:dyDescent="0.25">
      <c r="A2" s="43" t="s">
        <v>11</v>
      </c>
      <c r="B2" s="44"/>
      <c r="C2" s="44"/>
      <c r="D2" s="44"/>
      <c r="E2" s="75"/>
      <c r="F2" s="44"/>
      <c r="G2" s="44"/>
      <c r="H2" s="44"/>
      <c r="I2" s="75"/>
      <c r="J2" s="44"/>
    </row>
    <row r="3" spans="1:11" ht="15.75" x14ac:dyDescent="0.25">
      <c r="A3" s="43" t="s">
        <v>118</v>
      </c>
      <c r="B3" s="44"/>
      <c r="C3" s="44"/>
      <c r="D3" s="44"/>
      <c r="E3" s="75"/>
      <c r="F3" s="44"/>
      <c r="G3" s="44"/>
      <c r="H3" s="44"/>
      <c r="I3" s="75"/>
      <c r="J3" s="44"/>
    </row>
    <row r="4" spans="1:11" ht="15.75" x14ac:dyDescent="0.25">
      <c r="A4" s="45" t="s">
        <v>230</v>
      </c>
      <c r="B4" s="46">
        <v>0</v>
      </c>
      <c r="C4" s="46">
        <v>0</v>
      </c>
      <c r="D4" s="46">
        <v>0</v>
      </c>
      <c r="E4" s="76">
        <v>0</v>
      </c>
      <c r="F4" s="46">
        <v>720000</v>
      </c>
      <c r="G4" s="46">
        <v>333853.18</v>
      </c>
      <c r="H4" s="46">
        <v>386146.82</v>
      </c>
      <c r="I4" s="76">
        <v>115.66</v>
      </c>
      <c r="J4" s="46">
        <v>333853.18</v>
      </c>
      <c r="K4" s="80"/>
    </row>
    <row r="5" spans="1:11" ht="15.75" x14ac:dyDescent="0.25">
      <c r="A5" s="45" t="s">
        <v>231</v>
      </c>
      <c r="B5" s="46">
        <v>0</v>
      </c>
      <c r="C5" s="46">
        <v>0</v>
      </c>
      <c r="D5" s="46">
        <v>0</v>
      </c>
      <c r="E5" s="76">
        <v>0</v>
      </c>
      <c r="F5" s="46">
        <v>812.9</v>
      </c>
      <c r="G5" s="46">
        <v>0</v>
      </c>
      <c r="H5" s="46">
        <v>812.9</v>
      </c>
      <c r="I5" s="76">
        <v>0</v>
      </c>
      <c r="J5" s="46">
        <v>0</v>
      </c>
      <c r="K5" s="80"/>
    </row>
    <row r="6" spans="1:11" ht="15.75" x14ac:dyDescent="0.25">
      <c r="A6" s="45" t="s">
        <v>232</v>
      </c>
      <c r="B6" s="46">
        <v>17872.419999999998</v>
      </c>
      <c r="C6" s="46">
        <v>15926.55</v>
      </c>
      <c r="D6" s="46">
        <v>1945.87</v>
      </c>
      <c r="E6" s="76">
        <v>12.22</v>
      </c>
      <c r="F6" s="46">
        <v>193213.51</v>
      </c>
      <c r="G6" s="46">
        <v>189633.96</v>
      </c>
      <c r="H6" s="46">
        <v>3579.55</v>
      </c>
      <c r="I6" s="76">
        <v>1.89</v>
      </c>
      <c r="J6" s="46">
        <v>189633.96</v>
      </c>
      <c r="K6" s="80"/>
    </row>
    <row r="7" spans="1:11" ht="15.75" x14ac:dyDescent="0.25">
      <c r="A7" s="45" t="s">
        <v>233</v>
      </c>
      <c r="B7" s="46">
        <v>0</v>
      </c>
      <c r="C7" s="46">
        <v>0</v>
      </c>
      <c r="D7" s="46">
        <v>0</v>
      </c>
      <c r="E7" s="76">
        <v>0</v>
      </c>
      <c r="F7" s="46">
        <v>2.4300000000000002</v>
      </c>
      <c r="G7" s="46">
        <v>0</v>
      </c>
      <c r="H7" s="46">
        <v>2.4300000000000002</v>
      </c>
      <c r="I7" s="76">
        <v>0</v>
      </c>
      <c r="J7" s="46">
        <v>0</v>
      </c>
      <c r="K7" s="80"/>
    </row>
    <row r="8" spans="1:11" ht="15.75" x14ac:dyDescent="0.25">
      <c r="A8" s="45" t="s">
        <v>234</v>
      </c>
      <c r="B8" s="46">
        <v>0</v>
      </c>
      <c r="C8" s="46">
        <v>0</v>
      </c>
      <c r="D8" s="46">
        <v>0</v>
      </c>
      <c r="E8" s="76">
        <v>0</v>
      </c>
      <c r="F8" s="46">
        <v>125</v>
      </c>
      <c r="G8" s="46">
        <v>0</v>
      </c>
      <c r="H8" s="46">
        <v>125</v>
      </c>
      <c r="I8" s="76">
        <v>0</v>
      </c>
      <c r="J8" s="46">
        <v>0</v>
      </c>
      <c r="K8" s="80"/>
    </row>
    <row r="9" spans="1:11" ht="15.75" x14ac:dyDescent="0.25">
      <c r="A9" s="43" t="s">
        <v>216</v>
      </c>
      <c r="B9" s="47">
        <v>17872.419999999998</v>
      </c>
      <c r="C9" s="47">
        <v>15926.55</v>
      </c>
      <c r="D9" s="47">
        <v>1945.87</v>
      </c>
      <c r="E9" s="77">
        <v>12.22</v>
      </c>
      <c r="F9" s="47">
        <v>914153.84</v>
      </c>
      <c r="G9" s="47">
        <v>523487.14</v>
      </c>
      <c r="H9" s="47">
        <v>390666.7</v>
      </c>
      <c r="I9" s="77">
        <v>74.63</v>
      </c>
      <c r="J9" s="47">
        <v>523487.14</v>
      </c>
    </row>
    <row r="10" spans="1:11" ht="15.75" x14ac:dyDescent="0.25">
      <c r="A10" s="43" t="s">
        <v>189</v>
      </c>
      <c r="B10" s="47">
        <v>17872.419999999998</v>
      </c>
      <c r="C10" s="47">
        <v>15926.55</v>
      </c>
      <c r="D10" s="47">
        <v>1945.87</v>
      </c>
      <c r="E10" s="77">
        <v>12.22</v>
      </c>
      <c r="F10" s="47">
        <v>914153.84</v>
      </c>
      <c r="G10" s="47">
        <v>523487.14</v>
      </c>
      <c r="H10" s="47">
        <v>390666.7</v>
      </c>
      <c r="I10" s="77">
        <v>74.63</v>
      </c>
      <c r="J10" s="47">
        <v>523487.14</v>
      </c>
    </row>
    <row r="11" spans="1:11" ht="15.75" x14ac:dyDescent="0.25">
      <c r="A11" s="45"/>
      <c r="B11" s="46"/>
      <c r="C11" s="46"/>
      <c r="D11" s="46"/>
      <c r="E11" s="76"/>
      <c r="F11" s="46"/>
      <c r="G11" s="46"/>
      <c r="H11" s="46"/>
      <c r="I11" s="76"/>
      <c r="J11" s="46"/>
    </row>
    <row r="12" spans="1:11" ht="15.75" x14ac:dyDescent="0.25">
      <c r="A12" s="43" t="s">
        <v>235</v>
      </c>
      <c r="B12" s="44"/>
      <c r="C12" s="44"/>
      <c r="D12" s="44"/>
      <c r="E12" s="75"/>
      <c r="F12" s="44"/>
      <c r="G12" s="44"/>
      <c r="H12" s="44"/>
      <c r="I12" s="75"/>
      <c r="J12" s="44"/>
    </row>
    <row r="13" spans="1:11" ht="15.75" x14ac:dyDescent="0.25">
      <c r="A13" s="43" t="s">
        <v>236</v>
      </c>
      <c r="B13" s="44"/>
      <c r="C13" s="44"/>
      <c r="D13" s="44"/>
      <c r="E13" s="75"/>
      <c r="F13" s="44"/>
      <c r="G13" s="44"/>
      <c r="H13" s="44"/>
      <c r="I13" s="75"/>
      <c r="J13" s="44"/>
    </row>
    <row r="14" spans="1:11" ht="15.75" x14ac:dyDescent="0.25">
      <c r="A14" s="43" t="s">
        <v>237</v>
      </c>
      <c r="B14" s="44"/>
      <c r="C14" s="44"/>
      <c r="D14" s="44"/>
      <c r="E14" s="75"/>
      <c r="F14" s="44"/>
      <c r="G14" s="44"/>
      <c r="H14" s="44"/>
      <c r="I14" s="75"/>
      <c r="J14" s="44"/>
    </row>
    <row r="15" spans="1:11" ht="15.75" x14ac:dyDescent="0.25">
      <c r="A15" s="45" t="s">
        <v>238</v>
      </c>
      <c r="B15" s="46">
        <v>0</v>
      </c>
      <c r="C15" s="46">
        <v>0</v>
      </c>
      <c r="D15" s="46">
        <v>0</v>
      </c>
      <c r="E15" s="76">
        <v>0</v>
      </c>
      <c r="F15" s="46">
        <v>3230.65</v>
      </c>
      <c r="G15" s="46">
        <v>0</v>
      </c>
      <c r="H15" s="46">
        <v>-3230.65</v>
      </c>
      <c r="I15" s="76">
        <v>0</v>
      </c>
      <c r="J15" s="46">
        <v>0</v>
      </c>
      <c r="K15" s="80"/>
    </row>
    <row r="16" spans="1:11" ht="15.75" x14ac:dyDescent="0.25">
      <c r="A16" s="45" t="s">
        <v>239</v>
      </c>
      <c r="B16" s="46">
        <v>0</v>
      </c>
      <c r="C16" s="46">
        <v>0</v>
      </c>
      <c r="D16" s="46">
        <v>0</v>
      </c>
      <c r="E16" s="76">
        <v>0</v>
      </c>
      <c r="F16" s="46">
        <v>1437.34</v>
      </c>
      <c r="G16" s="46">
        <v>0</v>
      </c>
      <c r="H16" s="46">
        <v>-1437.34</v>
      </c>
      <c r="I16" s="76">
        <v>0</v>
      </c>
      <c r="J16" s="46">
        <v>0</v>
      </c>
      <c r="K16" s="80"/>
    </row>
    <row r="17" spans="1:11" ht="15.75" x14ac:dyDescent="0.25">
      <c r="A17" s="45" t="s">
        <v>240</v>
      </c>
      <c r="B17" s="46">
        <v>0</v>
      </c>
      <c r="C17" s="46">
        <v>0</v>
      </c>
      <c r="D17" s="46">
        <v>0</v>
      </c>
      <c r="E17" s="76">
        <v>0</v>
      </c>
      <c r="F17" s="46">
        <v>41140</v>
      </c>
      <c r="G17" s="46">
        <v>0</v>
      </c>
      <c r="H17" s="46">
        <v>-41140</v>
      </c>
      <c r="I17" s="76">
        <v>0</v>
      </c>
      <c r="J17" s="46">
        <v>0</v>
      </c>
      <c r="K17" s="80"/>
    </row>
    <row r="18" spans="1:11" ht="15.75" x14ac:dyDescent="0.25">
      <c r="A18" s="43" t="s">
        <v>241</v>
      </c>
      <c r="B18" s="47">
        <v>0</v>
      </c>
      <c r="C18" s="47">
        <v>0</v>
      </c>
      <c r="D18" s="47">
        <v>0</v>
      </c>
      <c r="E18" s="77">
        <v>0</v>
      </c>
      <c r="F18" s="47">
        <v>45807.99</v>
      </c>
      <c r="G18" s="47">
        <v>0</v>
      </c>
      <c r="H18" s="47">
        <v>-45807.99</v>
      </c>
      <c r="I18" s="77">
        <v>0</v>
      </c>
      <c r="J18" s="47">
        <v>0</v>
      </c>
    </row>
    <row r="19" spans="1:11" ht="15.75" x14ac:dyDescent="0.25">
      <c r="A19" s="43" t="s">
        <v>242</v>
      </c>
      <c r="B19" s="44"/>
      <c r="C19" s="44"/>
      <c r="D19" s="44"/>
      <c r="E19" s="75"/>
      <c r="F19" s="44"/>
      <c r="G19" s="44"/>
      <c r="H19" s="44"/>
      <c r="I19" s="75"/>
      <c r="J19" s="44"/>
    </row>
    <row r="20" spans="1:11" ht="15.75" x14ac:dyDescent="0.25">
      <c r="A20" s="45" t="s">
        <v>243</v>
      </c>
      <c r="B20" s="46">
        <v>0</v>
      </c>
      <c r="C20" s="46">
        <v>0</v>
      </c>
      <c r="D20" s="46">
        <v>0</v>
      </c>
      <c r="E20" s="76">
        <v>0</v>
      </c>
      <c r="F20" s="46">
        <v>1540</v>
      </c>
      <c r="G20" s="46">
        <v>0</v>
      </c>
      <c r="H20" s="46">
        <v>-1540</v>
      </c>
      <c r="I20" s="76">
        <v>0</v>
      </c>
      <c r="J20" s="46">
        <v>0</v>
      </c>
      <c r="K20" s="80"/>
    </row>
    <row r="21" spans="1:11" ht="15.75" x14ac:dyDescent="0.25">
      <c r="A21" s="45" t="s">
        <v>244</v>
      </c>
      <c r="B21" s="46">
        <v>0</v>
      </c>
      <c r="C21" s="46">
        <v>83.33</v>
      </c>
      <c r="D21" s="46">
        <v>83.33</v>
      </c>
      <c r="E21" s="76">
        <v>100</v>
      </c>
      <c r="F21" s="46">
        <v>4087.5</v>
      </c>
      <c r="G21" s="46">
        <v>1000</v>
      </c>
      <c r="H21" s="46">
        <v>-3087.5</v>
      </c>
      <c r="I21" s="76">
        <v>-308.75</v>
      </c>
      <c r="J21" s="46">
        <v>1000</v>
      </c>
      <c r="K21" s="80"/>
    </row>
    <row r="22" spans="1:11" ht="15.75" x14ac:dyDescent="0.25">
      <c r="A22" s="45" t="s">
        <v>245</v>
      </c>
      <c r="B22" s="46">
        <v>0</v>
      </c>
      <c r="C22" s="46">
        <v>1416.66</v>
      </c>
      <c r="D22" s="46">
        <v>1416.66</v>
      </c>
      <c r="E22" s="76">
        <v>100</v>
      </c>
      <c r="F22" s="46">
        <v>7082.68</v>
      </c>
      <c r="G22" s="46">
        <v>17000</v>
      </c>
      <c r="H22" s="46">
        <v>9917.32</v>
      </c>
      <c r="I22" s="76">
        <v>58.34</v>
      </c>
      <c r="J22" s="46">
        <v>17000</v>
      </c>
      <c r="K22" s="80"/>
    </row>
    <row r="23" spans="1:11" ht="15.75" x14ac:dyDescent="0.25">
      <c r="A23" s="43" t="s">
        <v>246</v>
      </c>
      <c r="B23" s="47">
        <v>0</v>
      </c>
      <c r="C23" s="47">
        <v>1499.99</v>
      </c>
      <c r="D23" s="47">
        <v>1499.99</v>
      </c>
      <c r="E23" s="77">
        <v>100</v>
      </c>
      <c r="F23" s="47">
        <v>12710.18</v>
      </c>
      <c r="G23" s="47">
        <v>18000</v>
      </c>
      <c r="H23" s="47">
        <v>5289.82</v>
      </c>
      <c r="I23" s="77">
        <v>29.39</v>
      </c>
      <c r="J23" s="47">
        <v>18000</v>
      </c>
    </row>
    <row r="24" spans="1:11" ht="15.75" x14ac:dyDescent="0.25">
      <c r="A24" s="43" t="s">
        <v>247</v>
      </c>
      <c r="B24" s="44"/>
      <c r="C24" s="44"/>
      <c r="D24" s="44"/>
      <c r="E24" s="75"/>
      <c r="F24" s="44"/>
      <c r="G24" s="44"/>
      <c r="H24" s="44"/>
      <c r="I24" s="75"/>
      <c r="J24" s="44"/>
    </row>
    <row r="25" spans="1:11" ht="15.75" x14ac:dyDescent="0.25">
      <c r="A25" s="45" t="s">
        <v>248</v>
      </c>
      <c r="B25" s="46">
        <v>0</v>
      </c>
      <c r="C25" s="46">
        <v>0</v>
      </c>
      <c r="D25" s="46">
        <v>0</v>
      </c>
      <c r="E25" s="76">
        <v>0</v>
      </c>
      <c r="F25" s="46">
        <v>179.85</v>
      </c>
      <c r="G25" s="46">
        <v>0</v>
      </c>
      <c r="H25" s="46">
        <v>-179.85</v>
      </c>
      <c r="I25" s="76">
        <v>0</v>
      </c>
      <c r="J25" s="46">
        <v>0</v>
      </c>
      <c r="K25" s="80"/>
    </row>
    <row r="26" spans="1:11" ht="15.75" x14ac:dyDescent="0.25">
      <c r="A26" s="43" t="s">
        <v>249</v>
      </c>
      <c r="B26" s="47">
        <v>0</v>
      </c>
      <c r="C26" s="47">
        <v>0</v>
      </c>
      <c r="D26" s="47">
        <v>0</v>
      </c>
      <c r="E26" s="77">
        <v>0</v>
      </c>
      <c r="F26" s="47">
        <v>179.85</v>
      </c>
      <c r="G26" s="47">
        <v>0</v>
      </c>
      <c r="H26" s="47">
        <v>-179.85</v>
      </c>
      <c r="I26" s="77">
        <v>0</v>
      </c>
      <c r="J26" s="47">
        <v>0</v>
      </c>
    </row>
    <row r="27" spans="1:11" ht="15.75" x14ac:dyDescent="0.25">
      <c r="A27" s="43" t="s">
        <v>250</v>
      </c>
      <c r="B27" s="44"/>
      <c r="C27" s="44"/>
      <c r="D27" s="44"/>
      <c r="E27" s="75"/>
      <c r="F27" s="44"/>
      <c r="G27" s="44"/>
      <c r="H27" s="44"/>
      <c r="I27" s="75"/>
      <c r="J27" s="44"/>
    </row>
    <row r="28" spans="1:11" ht="15.75" x14ac:dyDescent="0.25">
      <c r="A28" s="45" t="s">
        <v>251</v>
      </c>
      <c r="B28" s="46">
        <v>0</v>
      </c>
      <c r="C28" s="46">
        <v>583.34</v>
      </c>
      <c r="D28" s="46">
        <v>583.34</v>
      </c>
      <c r="E28" s="76">
        <v>100</v>
      </c>
      <c r="F28" s="46">
        <v>1512.5</v>
      </c>
      <c r="G28" s="46">
        <v>3500</v>
      </c>
      <c r="H28" s="46">
        <v>1987.5</v>
      </c>
      <c r="I28" s="76">
        <v>56.79</v>
      </c>
      <c r="J28" s="46">
        <v>3500</v>
      </c>
      <c r="K28" s="80"/>
    </row>
    <row r="29" spans="1:11" ht="15.75" x14ac:dyDescent="0.25">
      <c r="A29" s="43" t="s">
        <v>252</v>
      </c>
      <c r="B29" s="47">
        <v>0</v>
      </c>
      <c r="C29" s="47">
        <v>583.34</v>
      </c>
      <c r="D29" s="47">
        <v>583.34</v>
      </c>
      <c r="E29" s="77">
        <v>100</v>
      </c>
      <c r="F29" s="47">
        <v>1512.5</v>
      </c>
      <c r="G29" s="47">
        <v>3500</v>
      </c>
      <c r="H29" s="47">
        <v>1987.5</v>
      </c>
      <c r="I29" s="77">
        <v>56.79</v>
      </c>
      <c r="J29" s="47">
        <v>3500</v>
      </c>
    </row>
    <row r="30" spans="1:11" ht="15.75" x14ac:dyDescent="0.25">
      <c r="A30" s="43" t="s">
        <v>253</v>
      </c>
      <c r="B30" s="44"/>
      <c r="C30" s="44"/>
      <c r="D30" s="44"/>
      <c r="E30" s="75"/>
      <c r="F30" s="44"/>
      <c r="G30" s="44"/>
      <c r="H30" s="44"/>
      <c r="I30" s="75"/>
      <c r="J30" s="44"/>
    </row>
    <row r="31" spans="1:11" ht="15.75" x14ac:dyDescent="0.25">
      <c r="A31" s="45" t="s">
        <v>254</v>
      </c>
      <c r="B31" s="46">
        <v>0</v>
      </c>
      <c r="C31" s="46">
        <v>0</v>
      </c>
      <c r="D31" s="46">
        <v>0</v>
      </c>
      <c r="E31" s="76">
        <v>0</v>
      </c>
      <c r="F31" s="46">
        <v>6040</v>
      </c>
      <c r="G31" s="46">
        <v>8015</v>
      </c>
      <c r="H31" s="46">
        <v>1975</v>
      </c>
      <c r="I31" s="76">
        <v>24.64</v>
      </c>
      <c r="J31" s="46">
        <v>8015</v>
      </c>
      <c r="K31" s="80"/>
    </row>
    <row r="32" spans="1:11" ht="15.75" x14ac:dyDescent="0.25">
      <c r="A32" s="45" t="s">
        <v>255</v>
      </c>
      <c r="B32" s="46">
        <v>0</v>
      </c>
      <c r="C32" s="46">
        <v>0</v>
      </c>
      <c r="D32" s="46">
        <v>0</v>
      </c>
      <c r="E32" s="76">
        <v>0</v>
      </c>
      <c r="F32" s="46">
        <v>7380</v>
      </c>
      <c r="G32" s="46">
        <v>7500</v>
      </c>
      <c r="H32" s="46">
        <v>120</v>
      </c>
      <c r="I32" s="76">
        <v>1.6</v>
      </c>
      <c r="J32" s="46">
        <v>7500</v>
      </c>
      <c r="K32" s="80"/>
    </row>
    <row r="33" spans="1:11" ht="15.75" x14ac:dyDescent="0.25">
      <c r="A33" s="45" t="s">
        <v>256</v>
      </c>
      <c r="B33" s="46">
        <v>0</v>
      </c>
      <c r="C33" s="46">
        <v>0</v>
      </c>
      <c r="D33" s="46">
        <v>0</v>
      </c>
      <c r="E33" s="76">
        <v>0</v>
      </c>
      <c r="F33" s="46">
        <v>325</v>
      </c>
      <c r="G33" s="46">
        <v>0</v>
      </c>
      <c r="H33" s="46">
        <v>-325</v>
      </c>
      <c r="I33" s="76">
        <v>0</v>
      </c>
      <c r="J33" s="46">
        <v>0</v>
      </c>
      <c r="K33" s="80"/>
    </row>
    <row r="34" spans="1:11" ht="15.75" x14ac:dyDescent="0.25">
      <c r="A34" s="45" t="s">
        <v>257</v>
      </c>
      <c r="B34" s="46">
        <v>0</v>
      </c>
      <c r="C34" s="46">
        <v>0</v>
      </c>
      <c r="D34" s="46">
        <v>0</v>
      </c>
      <c r="E34" s="76">
        <v>0</v>
      </c>
      <c r="F34" s="46">
        <v>2552.5</v>
      </c>
      <c r="G34" s="46">
        <v>0</v>
      </c>
      <c r="H34" s="46">
        <v>-2552.5</v>
      </c>
      <c r="I34" s="76">
        <v>0</v>
      </c>
      <c r="J34" s="46">
        <v>0</v>
      </c>
      <c r="K34" s="80"/>
    </row>
    <row r="35" spans="1:11" ht="15.75" x14ac:dyDescent="0.25">
      <c r="A35" s="43" t="s">
        <v>258</v>
      </c>
      <c r="B35" s="47">
        <v>0</v>
      </c>
      <c r="C35" s="47">
        <v>0</v>
      </c>
      <c r="D35" s="47">
        <v>0</v>
      </c>
      <c r="E35" s="77">
        <v>0</v>
      </c>
      <c r="F35" s="47">
        <v>16297.5</v>
      </c>
      <c r="G35" s="47">
        <v>15515</v>
      </c>
      <c r="H35" s="47">
        <v>-782.5</v>
      </c>
      <c r="I35" s="77">
        <v>-5.04</v>
      </c>
      <c r="J35" s="47">
        <v>15515</v>
      </c>
    </row>
    <row r="36" spans="1:11" ht="15.75" x14ac:dyDescent="0.25">
      <c r="A36" s="43" t="s">
        <v>259</v>
      </c>
      <c r="B36" s="44"/>
      <c r="C36" s="44"/>
      <c r="D36" s="44"/>
      <c r="E36" s="75"/>
      <c r="F36" s="44"/>
      <c r="G36" s="44"/>
      <c r="H36" s="44"/>
      <c r="I36" s="75"/>
      <c r="J36" s="44"/>
    </row>
    <row r="37" spans="1:11" ht="15.75" x14ac:dyDescent="0.25">
      <c r="A37" s="45" t="s">
        <v>260</v>
      </c>
      <c r="B37" s="46">
        <v>0</v>
      </c>
      <c r="C37" s="46">
        <v>2700.41</v>
      </c>
      <c r="D37" s="46">
        <v>2700.41</v>
      </c>
      <c r="E37" s="76">
        <v>100</v>
      </c>
      <c r="F37" s="46">
        <v>4731.28</v>
      </c>
      <c r="G37" s="46">
        <v>32405</v>
      </c>
      <c r="H37" s="46">
        <v>27673.72</v>
      </c>
      <c r="I37" s="76">
        <v>85.4</v>
      </c>
      <c r="J37" s="46">
        <v>32405</v>
      </c>
      <c r="K37" s="80"/>
    </row>
    <row r="38" spans="1:11" ht="15.75" x14ac:dyDescent="0.25">
      <c r="A38" s="45" t="s">
        <v>261</v>
      </c>
      <c r="B38" s="46">
        <v>0</v>
      </c>
      <c r="C38" s="46">
        <v>0</v>
      </c>
      <c r="D38" s="46">
        <v>0</v>
      </c>
      <c r="E38" s="76">
        <v>0</v>
      </c>
      <c r="F38" s="46">
        <v>15760.52</v>
      </c>
      <c r="G38" s="46">
        <v>0</v>
      </c>
      <c r="H38" s="46">
        <v>-15760.52</v>
      </c>
      <c r="I38" s="76">
        <v>0</v>
      </c>
      <c r="J38" s="46">
        <v>0</v>
      </c>
      <c r="K38" s="80"/>
    </row>
    <row r="39" spans="1:11" ht="15.75" x14ac:dyDescent="0.25">
      <c r="A39" s="45" t="s">
        <v>262</v>
      </c>
      <c r="B39" s="46">
        <v>0</v>
      </c>
      <c r="C39" s="46">
        <v>708.33</v>
      </c>
      <c r="D39" s="46">
        <v>708.33</v>
      </c>
      <c r="E39" s="76">
        <v>100</v>
      </c>
      <c r="F39" s="46">
        <v>7260</v>
      </c>
      <c r="G39" s="46">
        <v>8500</v>
      </c>
      <c r="H39" s="46">
        <v>1240</v>
      </c>
      <c r="I39" s="76">
        <v>14.59</v>
      </c>
      <c r="J39" s="46">
        <v>8500</v>
      </c>
      <c r="K39" s="80"/>
    </row>
    <row r="40" spans="1:11" ht="15.75" x14ac:dyDescent="0.25">
      <c r="A40" s="45" t="s">
        <v>263</v>
      </c>
      <c r="B40" s="46">
        <v>0</v>
      </c>
      <c r="C40" s="46">
        <v>1110.4100000000001</v>
      </c>
      <c r="D40" s="46">
        <v>1110.4100000000001</v>
      </c>
      <c r="E40" s="76">
        <v>100</v>
      </c>
      <c r="F40" s="46">
        <v>12905.86</v>
      </c>
      <c r="G40" s="46">
        <v>13325</v>
      </c>
      <c r="H40" s="46">
        <v>419.14</v>
      </c>
      <c r="I40" s="76">
        <v>3.15</v>
      </c>
      <c r="J40" s="46">
        <v>13325</v>
      </c>
      <c r="K40" s="80"/>
    </row>
    <row r="41" spans="1:11" ht="15.75" x14ac:dyDescent="0.25">
      <c r="A41" s="45" t="s">
        <v>264</v>
      </c>
      <c r="B41" s="46">
        <v>0</v>
      </c>
      <c r="C41" s="46">
        <v>583.33000000000004</v>
      </c>
      <c r="D41" s="46">
        <v>583.33000000000004</v>
      </c>
      <c r="E41" s="76">
        <v>100</v>
      </c>
      <c r="F41" s="46">
        <v>3457.08</v>
      </c>
      <c r="G41" s="46">
        <v>7000</v>
      </c>
      <c r="H41" s="46">
        <v>3542.92</v>
      </c>
      <c r="I41" s="76">
        <v>50.61</v>
      </c>
      <c r="J41" s="46">
        <v>7000</v>
      </c>
      <c r="K41" s="80"/>
    </row>
    <row r="42" spans="1:11" ht="15.75" x14ac:dyDescent="0.25">
      <c r="A42" s="45" t="s">
        <v>265</v>
      </c>
      <c r="B42" s="46">
        <v>0</v>
      </c>
      <c r="C42" s="46">
        <v>833.33</v>
      </c>
      <c r="D42" s="46">
        <v>833.33</v>
      </c>
      <c r="E42" s="76">
        <v>100</v>
      </c>
      <c r="F42" s="46">
        <v>8458.33</v>
      </c>
      <c r="G42" s="46">
        <v>10000</v>
      </c>
      <c r="H42" s="46">
        <v>1541.67</v>
      </c>
      <c r="I42" s="76">
        <v>15.42</v>
      </c>
      <c r="J42" s="46">
        <v>10000</v>
      </c>
      <c r="K42" s="80"/>
    </row>
    <row r="43" spans="1:11" ht="15.75" x14ac:dyDescent="0.25">
      <c r="A43" s="45" t="s">
        <v>266</v>
      </c>
      <c r="B43" s="46">
        <v>968.6</v>
      </c>
      <c r="C43" s="46">
        <v>966.66</v>
      </c>
      <c r="D43" s="46">
        <v>-1.94</v>
      </c>
      <c r="E43" s="76">
        <v>-0.2</v>
      </c>
      <c r="F43" s="46">
        <v>11422.8</v>
      </c>
      <c r="G43" s="46">
        <v>11600</v>
      </c>
      <c r="H43" s="46">
        <v>177.2</v>
      </c>
      <c r="I43" s="76">
        <v>1.53</v>
      </c>
      <c r="J43" s="46">
        <v>11600</v>
      </c>
      <c r="K43" s="80"/>
    </row>
    <row r="44" spans="1:11" ht="15.75" x14ac:dyDescent="0.25">
      <c r="A44" s="43" t="s">
        <v>267</v>
      </c>
      <c r="B44" s="47">
        <v>968.6</v>
      </c>
      <c r="C44" s="47">
        <v>6902.47</v>
      </c>
      <c r="D44" s="47">
        <v>5933.87</v>
      </c>
      <c r="E44" s="77">
        <v>85.97</v>
      </c>
      <c r="F44" s="47">
        <v>63995.87</v>
      </c>
      <c r="G44" s="47">
        <v>82830</v>
      </c>
      <c r="H44" s="47">
        <v>18834.13</v>
      </c>
      <c r="I44" s="77">
        <v>22.74</v>
      </c>
      <c r="J44" s="47">
        <v>82830</v>
      </c>
    </row>
    <row r="45" spans="1:11" ht="15.75" x14ac:dyDescent="0.25">
      <c r="A45" s="43" t="s">
        <v>268</v>
      </c>
      <c r="B45" s="47">
        <v>968.6</v>
      </c>
      <c r="C45" s="47">
        <v>8985.7999999999993</v>
      </c>
      <c r="D45" s="47">
        <v>8017.2</v>
      </c>
      <c r="E45" s="77">
        <v>89.22</v>
      </c>
      <c r="F45" s="47">
        <v>140503.89000000001</v>
      </c>
      <c r="G45" s="47">
        <v>119845</v>
      </c>
      <c r="H45" s="47">
        <v>-20658.89</v>
      </c>
      <c r="I45" s="77">
        <v>-17.239999999999998</v>
      </c>
      <c r="J45" s="47">
        <v>119845</v>
      </c>
    </row>
    <row r="46" spans="1:11" ht="15.75" x14ac:dyDescent="0.25">
      <c r="A46" s="43" t="s">
        <v>269</v>
      </c>
      <c r="B46" s="44"/>
      <c r="C46" s="44"/>
      <c r="D46" s="44"/>
      <c r="E46" s="75"/>
      <c r="F46" s="44"/>
      <c r="G46" s="44"/>
      <c r="H46" s="44"/>
      <c r="I46" s="75"/>
      <c r="J46" s="44"/>
    </row>
    <row r="47" spans="1:11" ht="15.75" x14ac:dyDescent="0.25">
      <c r="A47" s="43" t="s">
        <v>270</v>
      </c>
      <c r="B47" s="44"/>
      <c r="C47" s="44"/>
      <c r="D47" s="44"/>
      <c r="E47" s="75"/>
      <c r="F47" s="44"/>
      <c r="G47" s="44"/>
      <c r="H47" s="44"/>
      <c r="I47" s="75"/>
      <c r="J47" s="44"/>
    </row>
    <row r="48" spans="1:11" ht="15.75" x14ac:dyDescent="0.25">
      <c r="A48" s="45" t="s">
        <v>271</v>
      </c>
      <c r="B48" s="46">
        <v>0</v>
      </c>
      <c r="C48" s="46">
        <v>41.66</v>
      </c>
      <c r="D48" s="46">
        <v>41.66</v>
      </c>
      <c r="E48" s="76">
        <v>100</v>
      </c>
      <c r="F48" s="46">
        <v>3195.01</v>
      </c>
      <c r="G48" s="46">
        <v>500</v>
      </c>
      <c r="H48" s="46">
        <v>-2695.01</v>
      </c>
      <c r="I48" s="76">
        <v>-539</v>
      </c>
      <c r="J48" s="46">
        <v>500</v>
      </c>
      <c r="K48" s="80"/>
    </row>
    <row r="49" spans="1:11" ht="15.75" x14ac:dyDescent="0.25">
      <c r="A49" s="45" t="s">
        <v>272</v>
      </c>
      <c r="B49" s="46">
        <v>39788</v>
      </c>
      <c r="C49" s="46">
        <v>0</v>
      </c>
      <c r="D49" s="46">
        <v>-39788</v>
      </c>
      <c r="E49" s="76">
        <v>0</v>
      </c>
      <c r="F49" s="46">
        <v>159152.97</v>
      </c>
      <c r="G49" s="46">
        <v>0</v>
      </c>
      <c r="H49" s="46">
        <v>-159152.97</v>
      </c>
      <c r="I49" s="76">
        <v>0</v>
      </c>
      <c r="J49" s="46">
        <v>0</v>
      </c>
      <c r="K49" s="80"/>
    </row>
    <row r="50" spans="1:11" ht="15.75" x14ac:dyDescent="0.25">
      <c r="A50" s="45" t="s">
        <v>273</v>
      </c>
      <c r="B50" s="46">
        <v>0</v>
      </c>
      <c r="C50" s="46">
        <v>0</v>
      </c>
      <c r="D50" s="46">
        <v>0</v>
      </c>
      <c r="E50" s="76">
        <v>0</v>
      </c>
      <c r="F50" s="46">
        <v>392.97</v>
      </c>
      <c r="G50" s="46">
        <v>0</v>
      </c>
      <c r="H50" s="46">
        <v>-392.97</v>
      </c>
      <c r="I50" s="76">
        <v>0</v>
      </c>
      <c r="J50" s="46">
        <v>0</v>
      </c>
      <c r="K50" s="80"/>
    </row>
    <row r="51" spans="1:11" ht="15.75" x14ac:dyDescent="0.25">
      <c r="A51" s="43" t="s">
        <v>274</v>
      </c>
      <c r="B51" s="47">
        <v>39788</v>
      </c>
      <c r="C51" s="47">
        <v>41.66</v>
      </c>
      <c r="D51" s="47">
        <v>-39746.339999999997</v>
      </c>
      <c r="E51" s="77">
        <v>-95406.48</v>
      </c>
      <c r="F51" s="47">
        <v>162740.95000000001</v>
      </c>
      <c r="G51" s="47">
        <v>500</v>
      </c>
      <c r="H51" s="47">
        <v>-162240.95000000001</v>
      </c>
      <c r="I51" s="77">
        <v>-32448.19</v>
      </c>
      <c r="J51" s="47">
        <v>500</v>
      </c>
    </row>
    <row r="52" spans="1:11" ht="15.75" x14ac:dyDescent="0.25">
      <c r="A52" s="43" t="s">
        <v>275</v>
      </c>
      <c r="B52" s="44"/>
      <c r="C52" s="44"/>
      <c r="D52" s="44"/>
      <c r="E52" s="75"/>
      <c r="F52" s="44"/>
      <c r="G52" s="44"/>
      <c r="H52" s="44"/>
      <c r="I52" s="75"/>
      <c r="J52" s="44"/>
    </row>
    <row r="53" spans="1:11" ht="15.75" x14ac:dyDescent="0.25">
      <c r="A53" s="45" t="s">
        <v>276</v>
      </c>
      <c r="B53" s="46">
        <v>0</v>
      </c>
      <c r="C53" s="46">
        <v>2083.33</v>
      </c>
      <c r="D53" s="46">
        <v>2083.33</v>
      </c>
      <c r="E53" s="76">
        <v>100</v>
      </c>
      <c r="F53" s="46">
        <v>24736.06</v>
      </c>
      <c r="G53" s="46">
        <v>25000</v>
      </c>
      <c r="H53" s="46">
        <v>263.94</v>
      </c>
      <c r="I53" s="76">
        <v>1.06</v>
      </c>
      <c r="J53" s="46">
        <v>25000</v>
      </c>
      <c r="K53" s="80"/>
    </row>
    <row r="54" spans="1:11" ht="15.75" x14ac:dyDescent="0.25">
      <c r="A54" s="45" t="s">
        <v>277</v>
      </c>
      <c r="B54" s="46">
        <v>0</v>
      </c>
      <c r="C54" s="46">
        <v>0</v>
      </c>
      <c r="D54" s="46">
        <v>0</v>
      </c>
      <c r="E54" s="76">
        <v>0</v>
      </c>
      <c r="F54" s="46">
        <v>160</v>
      </c>
      <c r="G54" s="46">
        <v>0</v>
      </c>
      <c r="H54" s="46">
        <v>-160</v>
      </c>
      <c r="I54" s="76">
        <v>0</v>
      </c>
      <c r="J54" s="46">
        <v>0</v>
      </c>
      <c r="K54" s="80"/>
    </row>
    <row r="55" spans="1:11" ht="15.75" x14ac:dyDescent="0.25">
      <c r="A55" s="43" t="s">
        <v>278</v>
      </c>
      <c r="B55" s="47">
        <v>0</v>
      </c>
      <c r="C55" s="47">
        <v>2083.33</v>
      </c>
      <c r="D55" s="47">
        <v>2083.33</v>
      </c>
      <c r="E55" s="77">
        <v>100</v>
      </c>
      <c r="F55" s="47">
        <v>24896.06</v>
      </c>
      <c r="G55" s="47">
        <v>25000</v>
      </c>
      <c r="H55" s="47">
        <v>103.94</v>
      </c>
      <c r="I55" s="77">
        <v>0.42</v>
      </c>
      <c r="J55" s="47">
        <v>25000</v>
      </c>
    </row>
    <row r="56" spans="1:11" ht="15.75" x14ac:dyDescent="0.25">
      <c r="A56" s="43" t="s">
        <v>279</v>
      </c>
      <c r="B56" s="44"/>
      <c r="C56" s="44"/>
      <c r="D56" s="44"/>
      <c r="E56" s="75"/>
      <c r="F56" s="44"/>
      <c r="G56" s="44"/>
      <c r="H56" s="44"/>
      <c r="I56" s="75"/>
      <c r="J56" s="44"/>
    </row>
    <row r="57" spans="1:11" ht="15.75" x14ac:dyDescent="0.25">
      <c r="A57" s="45" t="s">
        <v>280</v>
      </c>
      <c r="B57" s="46">
        <v>3647.92</v>
      </c>
      <c r="C57" s="46">
        <v>3647.91</v>
      </c>
      <c r="D57" s="46">
        <v>-0.01</v>
      </c>
      <c r="E57" s="76">
        <v>0</v>
      </c>
      <c r="F57" s="46">
        <v>43775.040000000001</v>
      </c>
      <c r="G57" s="46">
        <v>43775</v>
      </c>
      <c r="H57" s="46">
        <v>-0.04</v>
      </c>
      <c r="I57" s="76">
        <v>0</v>
      </c>
      <c r="J57" s="46">
        <v>43775</v>
      </c>
      <c r="K57" s="80"/>
    </row>
    <row r="58" spans="1:11" ht="15.75" x14ac:dyDescent="0.25">
      <c r="A58" s="45" t="s">
        <v>281</v>
      </c>
      <c r="B58" s="46">
        <v>0</v>
      </c>
      <c r="C58" s="46">
        <v>25</v>
      </c>
      <c r="D58" s="46">
        <v>25</v>
      </c>
      <c r="E58" s="76">
        <v>100</v>
      </c>
      <c r="F58" s="46">
        <v>4204.5</v>
      </c>
      <c r="G58" s="46">
        <v>300</v>
      </c>
      <c r="H58" s="46">
        <v>-3904.5</v>
      </c>
      <c r="I58" s="76">
        <v>-1301.5</v>
      </c>
      <c r="J58" s="46">
        <v>300</v>
      </c>
      <c r="K58" s="80"/>
    </row>
    <row r="59" spans="1:11" ht="15.75" x14ac:dyDescent="0.25">
      <c r="A59" s="43" t="s">
        <v>282</v>
      </c>
      <c r="B59" s="47">
        <v>3647.92</v>
      </c>
      <c r="C59" s="47">
        <v>3672.91</v>
      </c>
      <c r="D59" s="47">
        <v>24.99</v>
      </c>
      <c r="E59" s="77">
        <v>0.68</v>
      </c>
      <c r="F59" s="47">
        <v>47979.54</v>
      </c>
      <c r="G59" s="47">
        <v>44075</v>
      </c>
      <c r="H59" s="47">
        <v>-3904.54</v>
      </c>
      <c r="I59" s="77">
        <v>-8.86</v>
      </c>
      <c r="J59" s="47">
        <v>44075</v>
      </c>
    </row>
    <row r="60" spans="1:11" ht="15.75" x14ac:dyDescent="0.25">
      <c r="A60" s="43" t="s">
        <v>283</v>
      </c>
      <c r="B60" s="44"/>
      <c r="C60" s="44"/>
      <c r="D60" s="44"/>
      <c r="E60" s="75"/>
      <c r="F60" s="44"/>
      <c r="G60" s="44"/>
      <c r="H60" s="44"/>
      <c r="I60" s="75"/>
      <c r="J60" s="44"/>
    </row>
    <row r="61" spans="1:11" ht="15.75" x14ac:dyDescent="0.25">
      <c r="A61" s="45" t="s">
        <v>284</v>
      </c>
      <c r="B61" s="46">
        <v>0</v>
      </c>
      <c r="C61" s="46">
        <v>8.33</v>
      </c>
      <c r="D61" s="46">
        <v>8.33</v>
      </c>
      <c r="E61" s="76">
        <v>100</v>
      </c>
      <c r="F61" s="46">
        <v>392</v>
      </c>
      <c r="G61" s="46">
        <v>100</v>
      </c>
      <c r="H61" s="46">
        <v>-292</v>
      </c>
      <c r="I61" s="76">
        <v>-292</v>
      </c>
      <c r="J61" s="46">
        <v>100</v>
      </c>
      <c r="K61" s="80"/>
    </row>
    <row r="62" spans="1:11" ht="15.75" x14ac:dyDescent="0.25">
      <c r="A62" s="45" t="s">
        <v>285</v>
      </c>
      <c r="B62" s="46">
        <v>0</v>
      </c>
      <c r="C62" s="46">
        <v>6.25</v>
      </c>
      <c r="D62" s="46">
        <v>6.25</v>
      </c>
      <c r="E62" s="76">
        <v>100</v>
      </c>
      <c r="F62" s="46">
        <v>57.5</v>
      </c>
      <c r="G62" s="46">
        <v>75</v>
      </c>
      <c r="H62" s="46">
        <v>17.5</v>
      </c>
      <c r="I62" s="76">
        <v>23.33</v>
      </c>
      <c r="J62" s="46">
        <v>75</v>
      </c>
      <c r="K62" s="80"/>
    </row>
    <row r="63" spans="1:11" ht="15.75" x14ac:dyDescent="0.25">
      <c r="A63" s="45" t="s">
        <v>286</v>
      </c>
      <c r="B63" s="46">
        <v>0</v>
      </c>
      <c r="C63" s="46">
        <v>0</v>
      </c>
      <c r="D63" s="46">
        <v>0</v>
      </c>
      <c r="E63" s="76">
        <v>0</v>
      </c>
      <c r="F63" s="46">
        <v>-648</v>
      </c>
      <c r="G63" s="46">
        <v>0</v>
      </c>
      <c r="H63" s="46">
        <v>648</v>
      </c>
      <c r="I63" s="76">
        <v>0</v>
      </c>
      <c r="J63" s="46">
        <v>0</v>
      </c>
      <c r="K63" s="80"/>
    </row>
    <row r="64" spans="1:11" ht="15.75" x14ac:dyDescent="0.25">
      <c r="A64" s="45" t="s">
        <v>287</v>
      </c>
      <c r="B64" s="46">
        <v>0</v>
      </c>
      <c r="C64" s="46">
        <v>3.25</v>
      </c>
      <c r="D64" s="46">
        <v>3.25</v>
      </c>
      <c r="E64" s="76">
        <v>100</v>
      </c>
      <c r="F64" s="46">
        <v>60.95</v>
      </c>
      <c r="G64" s="46">
        <v>39</v>
      </c>
      <c r="H64" s="46">
        <v>-21.95</v>
      </c>
      <c r="I64" s="76">
        <v>-56.28</v>
      </c>
      <c r="J64" s="46">
        <v>39</v>
      </c>
      <c r="K64" s="80"/>
    </row>
    <row r="65" spans="1:11" ht="15.75" x14ac:dyDescent="0.25">
      <c r="A65" s="43" t="s">
        <v>288</v>
      </c>
      <c r="B65" s="47">
        <v>0</v>
      </c>
      <c r="C65" s="47">
        <v>17.829999999999998</v>
      </c>
      <c r="D65" s="47">
        <v>17.829999999999998</v>
      </c>
      <c r="E65" s="77">
        <v>100</v>
      </c>
      <c r="F65" s="47">
        <v>-137.55000000000001</v>
      </c>
      <c r="G65" s="47">
        <v>214</v>
      </c>
      <c r="H65" s="47">
        <v>351.55</v>
      </c>
      <c r="I65" s="77">
        <v>164.28</v>
      </c>
      <c r="J65" s="47">
        <v>214</v>
      </c>
    </row>
    <row r="66" spans="1:11" ht="15.75" x14ac:dyDescent="0.25">
      <c r="A66" s="45" t="s">
        <v>289</v>
      </c>
      <c r="B66" s="46">
        <v>0</v>
      </c>
      <c r="C66" s="46">
        <v>0</v>
      </c>
      <c r="D66" s="46">
        <v>0</v>
      </c>
      <c r="E66" s="76">
        <v>0</v>
      </c>
      <c r="F66" s="46">
        <v>361.68</v>
      </c>
      <c r="G66" s="46">
        <v>0</v>
      </c>
      <c r="H66" s="46">
        <v>-361.68</v>
      </c>
      <c r="I66" s="76">
        <v>0</v>
      </c>
      <c r="J66" s="46">
        <v>0</v>
      </c>
      <c r="K66" s="80"/>
    </row>
    <row r="67" spans="1:11" ht="15.75" x14ac:dyDescent="0.25">
      <c r="A67" s="45" t="s">
        <v>290</v>
      </c>
      <c r="B67" s="46">
        <v>0</v>
      </c>
      <c r="C67" s="46">
        <v>0</v>
      </c>
      <c r="D67" s="46">
        <v>0</v>
      </c>
      <c r="E67" s="76">
        <v>0</v>
      </c>
      <c r="F67" s="46">
        <v>-816.67</v>
      </c>
      <c r="G67" s="46">
        <v>0</v>
      </c>
      <c r="H67" s="46">
        <v>816.67</v>
      </c>
      <c r="I67" s="76">
        <v>0</v>
      </c>
      <c r="J67" s="46">
        <v>0</v>
      </c>
      <c r="K67" s="80"/>
    </row>
    <row r="68" spans="1:11" ht="15.75" x14ac:dyDescent="0.25">
      <c r="A68" s="43" t="s">
        <v>291</v>
      </c>
      <c r="B68" s="47">
        <v>43435.92</v>
      </c>
      <c r="C68" s="47">
        <v>5815.73</v>
      </c>
      <c r="D68" s="47">
        <v>-37620.19</v>
      </c>
      <c r="E68" s="77">
        <v>-646.87</v>
      </c>
      <c r="F68" s="47">
        <v>235024.01</v>
      </c>
      <c r="G68" s="47">
        <v>69789</v>
      </c>
      <c r="H68" s="47">
        <v>-165235.01</v>
      </c>
      <c r="I68" s="77">
        <v>-236.76</v>
      </c>
      <c r="J68" s="47">
        <v>69789</v>
      </c>
    </row>
    <row r="69" spans="1:11" ht="15.75" x14ac:dyDescent="0.25">
      <c r="A69" s="43" t="s">
        <v>210</v>
      </c>
      <c r="B69" s="47">
        <v>44404.52</v>
      </c>
      <c r="C69" s="47">
        <v>14801.53</v>
      </c>
      <c r="D69" s="47">
        <v>-29602.99</v>
      </c>
      <c r="E69" s="77">
        <v>-200</v>
      </c>
      <c r="F69" s="47">
        <v>375527.9</v>
      </c>
      <c r="G69" s="47">
        <v>189634</v>
      </c>
      <c r="H69" s="47">
        <v>-185893.9</v>
      </c>
      <c r="I69" s="77">
        <v>-98.03</v>
      </c>
      <c r="J69" s="47">
        <v>189634</v>
      </c>
    </row>
    <row r="70" spans="1:11" ht="15.75" x14ac:dyDescent="0.25">
      <c r="A70" s="45"/>
      <c r="B70" s="46"/>
      <c r="C70" s="46"/>
      <c r="D70" s="46"/>
      <c r="E70" s="76"/>
      <c r="F70" s="46"/>
      <c r="G70" s="46"/>
      <c r="H70" s="46"/>
      <c r="I70" s="76"/>
      <c r="J70" s="46"/>
    </row>
    <row r="71" spans="1:11" ht="15.75" x14ac:dyDescent="0.25">
      <c r="A71" s="45" t="s">
        <v>189</v>
      </c>
      <c r="B71" s="46">
        <v>17872.419999999998</v>
      </c>
      <c r="C71" s="46">
        <v>15926.55</v>
      </c>
      <c r="D71" s="46">
        <v>1945.87</v>
      </c>
      <c r="E71" s="76">
        <v>12.22</v>
      </c>
      <c r="F71" s="46">
        <v>914153.84</v>
      </c>
      <c r="G71" s="46">
        <v>523487.14</v>
      </c>
      <c r="H71" s="46">
        <v>390666.7</v>
      </c>
      <c r="I71" s="76">
        <v>74.63</v>
      </c>
      <c r="J71" s="46">
        <v>523487.14</v>
      </c>
    </row>
    <row r="72" spans="1:11" ht="15.75" x14ac:dyDescent="0.25">
      <c r="A72" s="45" t="s">
        <v>210</v>
      </c>
      <c r="B72" s="46">
        <v>44404.52</v>
      </c>
      <c r="C72" s="46">
        <v>14801.53</v>
      </c>
      <c r="D72" s="46">
        <v>-29602.99</v>
      </c>
      <c r="E72" s="76">
        <v>-200</v>
      </c>
      <c r="F72" s="46">
        <v>375527.9</v>
      </c>
      <c r="G72" s="46">
        <v>189634</v>
      </c>
      <c r="H72" s="46">
        <v>-185893.9</v>
      </c>
      <c r="I72" s="76">
        <v>-98.03</v>
      </c>
      <c r="J72" s="46">
        <v>189634</v>
      </c>
    </row>
    <row r="73" spans="1:11" ht="15.75" x14ac:dyDescent="0.25">
      <c r="A73" s="43" t="s">
        <v>292</v>
      </c>
      <c r="B73" s="47">
        <v>-26532.1</v>
      </c>
      <c r="C73" s="47">
        <v>1125.02</v>
      </c>
      <c r="D73" s="47">
        <v>-27657.119999999999</v>
      </c>
      <c r="E73" s="77">
        <v>-2458.37</v>
      </c>
      <c r="F73" s="47">
        <v>538625.93999999994</v>
      </c>
      <c r="G73" s="47">
        <v>333853.14</v>
      </c>
      <c r="H73" s="47">
        <v>204772.8</v>
      </c>
      <c r="I73" s="77">
        <v>61.34</v>
      </c>
      <c r="J73" s="47">
        <v>333853.14</v>
      </c>
    </row>
    <row r="74" spans="1:11" ht="15.75" x14ac:dyDescent="0.25">
      <c r="A74" s="45"/>
      <c r="B74" s="46"/>
      <c r="C74" s="46"/>
      <c r="D74" s="46"/>
      <c r="E74" s="76"/>
      <c r="F74" s="46"/>
      <c r="G74" s="46"/>
      <c r="H74" s="46"/>
      <c r="I74" s="76"/>
      <c r="J74" s="46"/>
    </row>
    <row r="75" spans="1:11" ht="15.75" x14ac:dyDescent="0.25">
      <c r="A75" s="43" t="s">
        <v>46</v>
      </c>
      <c r="B75" s="44"/>
      <c r="C75" s="44"/>
      <c r="D75" s="44"/>
      <c r="E75" s="75"/>
      <c r="F75" s="44"/>
      <c r="G75" s="44"/>
      <c r="H75" s="44"/>
      <c r="I75" s="75"/>
      <c r="J75" s="44"/>
    </row>
    <row r="76" spans="1:11" ht="15.75" x14ac:dyDescent="0.25">
      <c r="A76" s="43" t="s">
        <v>293</v>
      </c>
      <c r="B76" s="44"/>
      <c r="C76" s="44"/>
      <c r="D76" s="44"/>
      <c r="E76" s="75"/>
      <c r="F76" s="44"/>
      <c r="G76" s="44"/>
      <c r="H76" s="44"/>
      <c r="I76" s="75"/>
      <c r="J76" s="44"/>
    </row>
    <row r="77" spans="1:11" ht="15.75" x14ac:dyDescent="0.25">
      <c r="A77" s="45" t="s">
        <v>294</v>
      </c>
      <c r="B77" s="46">
        <v>0</v>
      </c>
      <c r="C77" s="46">
        <v>0</v>
      </c>
      <c r="D77" s="46">
        <v>0</v>
      </c>
      <c r="E77" s="76">
        <v>0</v>
      </c>
      <c r="F77" s="46">
        <v>369500</v>
      </c>
      <c r="G77" s="46">
        <v>369500</v>
      </c>
      <c r="H77" s="46">
        <v>0</v>
      </c>
      <c r="I77" s="76">
        <v>0</v>
      </c>
      <c r="J77" s="46">
        <v>369500</v>
      </c>
      <c r="K77" s="80"/>
    </row>
    <row r="78" spans="1:11" ht="15.75" x14ac:dyDescent="0.25">
      <c r="A78" s="45" t="s">
        <v>295</v>
      </c>
      <c r="B78" s="46">
        <v>0</v>
      </c>
      <c r="C78" s="46">
        <v>1952.98</v>
      </c>
      <c r="D78" s="46">
        <v>-1952.98</v>
      </c>
      <c r="E78" s="76">
        <v>-100</v>
      </c>
      <c r="F78" s="46">
        <v>23435.759999999998</v>
      </c>
      <c r="G78" s="46">
        <v>23435.8</v>
      </c>
      <c r="H78" s="46">
        <v>-3906</v>
      </c>
      <c r="I78" s="76">
        <v>-16.670000000000002</v>
      </c>
      <c r="J78" s="46">
        <v>23435.8</v>
      </c>
      <c r="K78" s="80"/>
    </row>
    <row r="79" spans="1:11" ht="15.75" x14ac:dyDescent="0.25">
      <c r="A79" s="45" t="s">
        <v>296</v>
      </c>
      <c r="B79" s="46">
        <v>0</v>
      </c>
      <c r="C79" s="46">
        <v>0</v>
      </c>
      <c r="D79" s="46">
        <v>0</v>
      </c>
      <c r="E79" s="76">
        <v>0</v>
      </c>
      <c r="F79" s="46">
        <v>1879.04</v>
      </c>
      <c r="G79" s="46">
        <v>0</v>
      </c>
      <c r="H79" s="46">
        <v>1879.04</v>
      </c>
      <c r="I79" s="76">
        <v>0</v>
      </c>
      <c r="J79" s="46">
        <v>0</v>
      </c>
      <c r="K79" s="80"/>
    </row>
    <row r="80" spans="1:11" ht="15.75" x14ac:dyDescent="0.25">
      <c r="A80" s="43" t="s">
        <v>297</v>
      </c>
      <c r="B80" s="47">
        <v>0</v>
      </c>
      <c r="C80" s="47">
        <v>1952.98</v>
      </c>
      <c r="D80" s="47">
        <v>-1952.98</v>
      </c>
      <c r="E80" s="77">
        <v>-100</v>
      </c>
      <c r="F80" s="47">
        <v>390908.84</v>
      </c>
      <c r="G80" s="47">
        <v>392935.8</v>
      </c>
      <c r="H80" s="47">
        <v>-2026.96</v>
      </c>
      <c r="I80" s="77">
        <v>-0.52</v>
      </c>
      <c r="J80" s="47">
        <v>392935.8</v>
      </c>
    </row>
    <row r="81" spans="1:11" ht="15.75" x14ac:dyDescent="0.25">
      <c r="A81" s="43" t="s">
        <v>51</v>
      </c>
      <c r="B81" s="47">
        <v>0</v>
      </c>
      <c r="C81" s="47">
        <v>1952.98</v>
      </c>
      <c r="D81" s="47">
        <v>-1952.98</v>
      </c>
      <c r="E81" s="77">
        <v>-100</v>
      </c>
      <c r="F81" s="47">
        <v>390908.84</v>
      </c>
      <c r="G81" s="47">
        <v>392935.8</v>
      </c>
      <c r="H81" s="47">
        <v>-2026.96</v>
      </c>
      <c r="I81" s="77">
        <v>-0.52</v>
      </c>
      <c r="J81" s="47">
        <v>392935.8</v>
      </c>
    </row>
    <row r="82" spans="1:11" ht="15.75" x14ac:dyDescent="0.25">
      <c r="A82" s="45"/>
      <c r="B82" s="46"/>
      <c r="C82" s="46"/>
      <c r="D82" s="46"/>
      <c r="E82" s="76"/>
      <c r="F82" s="46"/>
      <c r="G82" s="46"/>
      <c r="H82" s="46"/>
      <c r="I82" s="76"/>
      <c r="J82" s="46"/>
    </row>
    <row r="83" spans="1:11" ht="15.75" x14ac:dyDescent="0.25">
      <c r="A83" s="43" t="s">
        <v>298</v>
      </c>
      <c r="B83" s="44"/>
      <c r="C83" s="44"/>
      <c r="D83" s="44"/>
      <c r="E83" s="75"/>
      <c r="F83" s="44"/>
      <c r="G83" s="44"/>
      <c r="H83" s="44"/>
      <c r="I83" s="75"/>
      <c r="J83" s="44"/>
    </row>
    <row r="84" spans="1:11" ht="15.75" x14ac:dyDescent="0.25">
      <c r="A84" s="43" t="s">
        <v>299</v>
      </c>
      <c r="B84" s="44"/>
      <c r="C84" s="44"/>
      <c r="D84" s="44"/>
      <c r="E84" s="75"/>
      <c r="F84" s="44"/>
      <c r="G84" s="44"/>
      <c r="H84" s="44"/>
      <c r="I84" s="75"/>
      <c r="J84" s="44"/>
    </row>
    <row r="85" spans="1:11" ht="15.75" x14ac:dyDescent="0.25">
      <c r="A85" s="45" t="s">
        <v>300</v>
      </c>
      <c r="B85" s="46">
        <v>3512.11</v>
      </c>
      <c r="C85" s="46">
        <v>33333.33</v>
      </c>
      <c r="D85" s="46">
        <v>29821.22</v>
      </c>
      <c r="E85" s="76">
        <v>89.46</v>
      </c>
      <c r="F85" s="46">
        <v>219455.4</v>
      </c>
      <c r="G85" s="46">
        <v>400000</v>
      </c>
      <c r="H85" s="46">
        <v>180544.6</v>
      </c>
      <c r="I85" s="76">
        <v>45.14</v>
      </c>
      <c r="J85" s="46">
        <v>400000</v>
      </c>
      <c r="K85" s="80"/>
    </row>
    <row r="86" spans="1:11" ht="15.75" x14ac:dyDescent="0.25">
      <c r="A86" s="43" t="s">
        <v>301</v>
      </c>
      <c r="B86" s="47">
        <v>3512.11</v>
      </c>
      <c r="C86" s="47">
        <v>33333.33</v>
      </c>
      <c r="D86" s="47">
        <v>29821.22</v>
      </c>
      <c r="E86" s="77">
        <v>89.46</v>
      </c>
      <c r="F86" s="47">
        <v>219455.4</v>
      </c>
      <c r="G86" s="47">
        <v>400000</v>
      </c>
      <c r="H86" s="47">
        <v>180544.6</v>
      </c>
      <c r="I86" s="77">
        <v>45.14</v>
      </c>
      <c r="J86" s="47">
        <v>400000</v>
      </c>
    </row>
    <row r="87" spans="1:11" ht="15.75" x14ac:dyDescent="0.25">
      <c r="A87" s="43" t="s">
        <v>302</v>
      </c>
      <c r="B87" s="47">
        <v>3512.11</v>
      </c>
      <c r="C87" s="47">
        <v>33333.33</v>
      </c>
      <c r="D87" s="47">
        <v>29821.22</v>
      </c>
      <c r="E87" s="77">
        <v>89.46</v>
      </c>
      <c r="F87" s="47">
        <v>219455.4</v>
      </c>
      <c r="G87" s="47">
        <v>400000</v>
      </c>
      <c r="H87" s="47">
        <v>180544.6</v>
      </c>
      <c r="I87" s="77">
        <v>45.14</v>
      </c>
      <c r="J87" s="47">
        <v>400000</v>
      </c>
    </row>
    <row r="88" spans="1:11" ht="15.75" x14ac:dyDescent="0.25">
      <c r="A88" s="45"/>
      <c r="B88" s="46"/>
      <c r="C88" s="46"/>
      <c r="D88" s="46"/>
      <c r="E88" s="76"/>
      <c r="F88" s="46"/>
      <c r="G88" s="46"/>
      <c r="H88" s="46"/>
      <c r="I88" s="76"/>
      <c r="J88" s="46"/>
    </row>
    <row r="89" spans="1:11" ht="15.75" x14ac:dyDescent="0.25">
      <c r="A89" s="43" t="s">
        <v>61</v>
      </c>
      <c r="B89" s="44">
        <v>-3512.11</v>
      </c>
      <c r="C89" s="44">
        <v>-31380.35</v>
      </c>
      <c r="D89" s="44">
        <v>27868.240000000002</v>
      </c>
      <c r="E89" s="75">
        <v>88.81</v>
      </c>
      <c r="F89" s="44">
        <v>171453.44</v>
      </c>
      <c r="G89" s="44">
        <v>-7064.2</v>
      </c>
      <c r="H89" s="44">
        <v>178517.64</v>
      </c>
      <c r="I89" s="75">
        <v>2527.08</v>
      </c>
      <c r="J89" s="44">
        <v>-7064.2</v>
      </c>
    </row>
    <row r="90" spans="1:11" ht="15.75" x14ac:dyDescent="0.25">
      <c r="A90" s="45"/>
      <c r="B90" s="46"/>
      <c r="C90" s="46"/>
      <c r="D90" s="46"/>
      <c r="E90" s="76"/>
      <c r="F90" s="46"/>
      <c r="G90" s="46"/>
      <c r="H90" s="46"/>
      <c r="I90" s="76"/>
      <c r="J90" s="46"/>
    </row>
    <row r="91" spans="1:11" ht="15.75" x14ac:dyDescent="0.25">
      <c r="A91" s="45" t="s">
        <v>16</v>
      </c>
      <c r="B91" s="46">
        <v>17872.419999999998</v>
      </c>
      <c r="C91" s="46">
        <v>17879.53</v>
      </c>
      <c r="D91" s="46">
        <v>-7.11</v>
      </c>
      <c r="E91" s="76">
        <v>-0.04</v>
      </c>
      <c r="F91" s="46">
        <v>1305062.68</v>
      </c>
      <c r="G91" s="46">
        <v>916422.94</v>
      </c>
      <c r="H91" s="46">
        <v>388639.74</v>
      </c>
      <c r="I91" s="76">
        <v>42.41</v>
      </c>
      <c r="J91" s="46">
        <v>916422.94</v>
      </c>
    </row>
    <row r="92" spans="1:11" ht="15.75" x14ac:dyDescent="0.25">
      <c r="A92" s="45" t="s">
        <v>303</v>
      </c>
      <c r="B92" s="46">
        <v>47916.63</v>
      </c>
      <c r="C92" s="46">
        <v>48134.86</v>
      </c>
      <c r="D92" s="46">
        <v>218.23</v>
      </c>
      <c r="E92" s="76">
        <v>0.45</v>
      </c>
      <c r="F92" s="46">
        <v>594983.30000000005</v>
      </c>
      <c r="G92" s="46">
        <v>589634</v>
      </c>
      <c r="H92" s="46">
        <v>-5349.3</v>
      </c>
      <c r="I92" s="76">
        <v>-0.91</v>
      </c>
      <c r="J92" s="46">
        <v>589634</v>
      </c>
    </row>
    <row r="93" spans="1:11" ht="15.75" x14ac:dyDescent="0.25">
      <c r="A93" s="45"/>
      <c r="B93" s="46"/>
      <c r="C93" s="46"/>
      <c r="D93" s="46"/>
      <c r="E93" s="76"/>
      <c r="F93" s="46"/>
      <c r="G93" s="46"/>
      <c r="H93" s="46"/>
      <c r="I93" s="76"/>
      <c r="J93" s="46"/>
    </row>
    <row r="94" spans="1:11" ht="15.75" x14ac:dyDescent="0.25">
      <c r="A94" s="43" t="s">
        <v>304</v>
      </c>
      <c r="B94" s="47">
        <v>-30044.21</v>
      </c>
      <c r="C94" s="47">
        <v>-30255.33</v>
      </c>
      <c r="D94" s="47">
        <v>211.12</v>
      </c>
      <c r="E94" s="77">
        <v>0.7</v>
      </c>
      <c r="F94" s="47">
        <v>710079.38</v>
      </c>
      <c r="G94" s="47">
        <v>326788.94</v>
      </c>
      <c r="H94" s="47">
        <v>383290.44</v>
      </c>
      <c r="I94" s="77">
        <v>117.29</v>
      </c>
      <c r="J94" s="47">
        <v>326788.94</v>
      </c>
    </row>
    <row r="95" spans="1:11" ht="15.75" x14ac:dyDescent="0.25">
      <c r="A95" s="45"/>
      <c r="B95" s="46"/>
      <c r="C95" s="46"/>
      <c r="D95" s="46"/>
      <c r="E95" s="76"/>
      <c r="F95" s="46"/>
      <c r="G95" s="46"/>
      <c r="H95" s="46"/>
      <c r="I95" s="76"/>
      <c r="J95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EA70D-7BB4-4E70-82C3-51B97524D3E9}">
  <dimension ref="A1:AC38"/>
  <sheetViews>
    <sheetView workbookViewId="0">
      <selection activeCell="E1" sqref="E1"/>
    </sheetView>
  </sheetViews>
  <sheetFormatPr defaultColWidth="9.140625" defaultRowHeight="15" x14ac:dyDescent="0.25"/>
  <cols>
    <col min="1" max="1" width="4.85546875" style="4" bestFit="1" customWidth="1"/>
    <col min="2" max="2" width="14" style="5" bestFit="1" customWidth="1"/>
    <col min="3" max="3" width="12" style="4" bestFit="1" customWidth="1"/>
    <col min="4" max="4" width="3.7109375" style="4" customWidth="1"/>
    <col min="5" max="5" width="12.5703125" style="5" bestFit="1" customWidth="1"/>
    <col min="6" max="6" width="9" style="4" bestFit="1" customWidth="1"/>
    <col min="7" max="7" width="2" style="4" customWidth="1"/>
    <col min="8" max="8" width="17.85546875" style="4" customWidth="1"/>
    <col min="9" max="9" width="15" style="4" customWidth="1"/>
    <col min="10" max="10" width="1.5703125" style="4" customWidth="1"/>
    <col min="11" max="11" width="12.5703125" style="4" bestFit="1" customWidth="1"/>
    <col min="12" max="12" width="9" style="4" bestFit="1" customWidth="1"/>
    <col min="13" max="13" width="1.28515625" style="4" customWidth="1"/>
    <col min="14" max="14" width="10.5703125" style="4" bestFit="1" customWidth="1"/>
    <col min="15" max="15" width="10.28515625" style="4" customWidth="1"/>
    <col min="16" max="16" width="3.140625" style="4" customWidth="1"/>
    <col min="17" max="17" width="14.85546875" style="6" bestFit="1" customWidth="1"/>
    <col min="18" max="18" width="12.5703125" style="4" bestFit="1" customWidth="1"/>
    <col min="19" max="29" width="11.5703125" style="4" bestFit="1" customWidth="1"/>
    <col min="30" max="16384" width="9.140625" style="4"/>
  </cols>
  <sheetData>
    <row r="1" spans="1:29" ht="18.75" x14ac:dyDescent="0.3">
      <c r="A1" s="144" t="s">
        <v>91</v>
      </c>
      <c r="B1" s="144"/>
      <c r="C1" s="144"/>
      <c r="E1" s="5">
        <f>ROUND('2024-2025 Approved Budget'!E8,0)</f>
        <v>189634</v>
      </c>
      <c r="H1" s="88">
        <f>+'2024-2025 Approved Budget'!E57</f>
        <v>23436</v>
      </c>
    </row>
    <row r="2" spans="1:29" s="6" customFormat="1" x14ac:dyDescent="0.25">
      <c r="A2" s="6" t="s">
        <v>77</v>
      </c>
      <c r="B2" s="7" t="s">
        <v>330</v>
      </c>
      <c r="C2" s="6" t="s">
        <v>76</v>
      </c>
      <c r="E2" s="143" t="s">
        <v>72</v>
      </c>
      <c r="F2" s="143"/>
      <c r="G2" s="10"/>
      <c r="H2" s="143" t="s">
        <v>73</v>
      </c>
      <c r="I2" s="143"/>
      <c r="K2" s="143" t="s">
        <v>74</v>
      </c>
      <c r="L2" s="143"/>
      <c r="N2" s="143" t="s">
        <v>75</v>
      </c>
      <c r="O2" s="143"/>
    </row>
    <row r="3" spans="1:29" x14ac:dyDescent="0.25">
      <c r="E3" s="5" t="s">
        <v>71</v>
      </c>
      <c r="F3" s="4" t="s">
        <v>70</v>
      </c>
      <c r="H3" s="4" t="s">
        <v>71</v>
      </c>
      <c r="I3" s="4" t="s">
        <v>70</v>
      </c>
      <c r="K3" s="4" t="s">
        <v>71</v>
      </c>
      <c r="L3" s="4" t="s">
        <v>70</v>
      </c>
      <c r="N3" s="4" t="s">
        <v>71</v>
      </c>
      <c r="O3" s="4" t="s">
        <v>70</v>
      </c>
      <c r="R3" s="6" t="s">
        <v>78</v>
      </c>
      <c r="S3" s="6" t="s">
        <v>79</v>
      </c>
      <c r="T3" s="6" t="s">
        <v>80</v>
      </c>
      <c r="U3" s="6" t="s">
        <v>81</v>
      </c>
      <c r="V3" s="6" t="s">
        <v>82</v>
      </c>
      <c r="W3" s="6" t="s">
        <v>83</v>
      </c>
      <c r="X3" s="6" t="s">
        <v>84</v>
      </c>
      <c r="Y3" s="6" t="s">
        <v>85</v>
      </c>
      <c r="Z3" s="6" t="s">
        <v>86</v>
      </c>
      <c r="AA3" s="6" t="s">
        <v>87</v>
      </c>
      <c r="AB3" s="6" t="s">
        <v>88</v>
      </c>
      <c r="AC3" s="6" t="s">
        <v>89</v>
      </c>
    </row>
    <row r="4" spans="1:29" x14ac:dyDescent="0.25">
      <c r="A4" s="4">
        <v>111</v>
      </c>
      <c r="B4" s="5">
        <v>582.41</v>
      </c>
      <c r="C4" s="9">
        <f t="shared" ref="C4:C36" si="0">B4/$B$38</f>
        <v>3.2587081100377016E-2</v>
      </c>
      <c r="E4" s="5">
        <f t="shared" ref="E4:E36" si="1">$E$1*C4</f>
        <v>6179.6185373888948</v>
      </c>
      <c r="F4" s="8">
        <f t="shared" ref="F4:F12" si="2">E4/12</f>
        <v>514.9682114490746</v>
      </c>
      <c r="H4" s="5">
        <f>$H$1*C4</f>
        <v>763.71083266843573</v>
      </c>
      <c r="I4" s="8">
        <f t="shared" ref="I4:I12" si="3">H4/12</f>
        <v>63.642569389036311</v>
      </c>
      <c r="K4" s="8">
        <f>+E4+H4</f>
        <v>6943.3293700573304</v>
      </c>
      <c r="L4" s="8">
        <f>K4/12</f>
        <v>578.61078083811083</v>
      </c>
      <c r="N4" s="8">
        <f>(B4*12)-K4</f>
        <v>45.590629942669693</v>
      </c>
      <c r="O4" s="8">
        <f t="shared" ref="O4:O36" si="4">B4-L4</f>
        <v>3.7992191618891411</v>
      </c>
      <c r="Q4" s="6" t="s">
        <v>72</v>
      </c>
      <c r="R4" s="8">
        <f>(SUM($F$4:$F$36)-$F$13)</f>
        <v>15184.227780382669</v>
      </c>
      <c r="S4" s="8">
        <f>(SUM($F$4:$F$36)-$F$13)</f>
        <v>15184.227780382669</v>
      </c>
      <c r="T4" s="8">
        <f>(SUM($F$4:$F$36))</f>
        <v>15802.833333333343</v>
      </c>
      <c r="U4" s="8">
        <f t="shared" ref="U4:AC4" si="5">(SUM($F$4:$F$36))</f>
        <v>15802.833333333343</v>
      </c>
      <c r="V4" s="8">
        <f t="shared" si="5"/>
        <v>15802.833333333343</v>
      </c>
      <c r="W4" s="8">
        <f t="shared" si="5"/>
        <v>15802.833333333343</v>
      </c>
      <c r="X4" s="8">
        <f t="shared" si="5"/>
        <v>15802.833333333343</v>
      </c>
      <c r="Y4" s="8">
        <f t="shared" si="5"/>
        <v>15802.833333333343</v>
      </c>
      <c r="Z4" s="8">
        <f t="shared" si="5"/>
        <v>15802.833333333343</v>
      </c>
      <c r="AA4" s="8">
        <f t="shared" si="5"/>
        <v>15802.833333333343</v>
      </c>
      <c r="AB4" s="8">
        <f t="shared" si="5"/>
        <v>15802.833333333343</v>
      </c>
      <c r="AC4" s="8">
        <f t="shared" si="5"/>
        <v>15802.833333333343</v>
      </c>
    </row>
    <row r="5" spans="1:29" x14ac:dyDescent="0.25">
      <c r="A5" s="4">
        <v>112</v>
      </c>
      <c r="B5" s="5">
        <v>582.41</v>
      </c>
      <c r="C5" s="9">
        <f t="shared" si="0"/>
        <v>3.2587081100377016E-2</v>
      </c>
      <c r="E5" s="5">
        <f t="shared" si="1"/>
        <v>6179.6185373888948</v>
      </c>
      <c r="F5" s="8">
        <f t="shared" si="2"/>
        <v>514.9682114490746</v>
      </c>
      <c r="H5" s="5">
        <f t="shared" ref="H5:H36" si="6">$H$1*C5</f>
        <v>763.71083266843573</v>
      </c>
      <c r="I5" s="8">
        <f t="shared" si="3"/>
        <v>63.642569389036311</v>
      </c>
      <c r="K5" s="8">
        <f t="shared" ref="K5:K36" si="7">+E5+H5</f>
        <v>6943.3293700573304</v>
      </c>
      <c r="L5" s="8">
        <f t="shared" ref="L5:L12" si="8">K5/12</f>
        <v>578.61078083811083</v>
      </c>
      <c r="N5" s="8">
        <f t="shared" ref="N5:N36" si="9">(B5*12)-K5</f>
        <v>45.590629942669693</v>
      </c>
      <c r="O5" s="8">
        <f t="shared" si="4"/>
        <v>3.7992191618891411</v>
      </c>
      <c r="Q5" s="6" t="s">
        <v>73</v>
      </c>
      <c r="R5" s="8">
        <f>(SUM($I$4:$I$36)-$I$13)</f>
        <v>1876.5493648873523</v>
      </c>
      <c r="S5" s="8">
        <f>(SUM($I$4:$I$36)-$I$13)</f>
        <v>1876.5493648873523</v>
      </c>
      <c r="T5" s="8">
        <f t="shared" ref="T5:AC5" si="10">(SUM($I$4:$I$36))</f>
        <v>1968.2901270225304</v>
      </c>
      <c r="U5" s="8">
        <f t="shared" si="10"/>
        <v>1968.2901270225304</v>
      </c>
      <c r="V5" s="8">
        <f t="shared" si="10"/>
        <v>1968.2901270225304</v>
      </c>
      <c r="W5" s="8">
        <f t="shared" si="10"/>
        <v>1968.2901270225304</v>
      </c>
      <c r="X5" s="8">
        <f t="shared" si="10"/>
        <v>1968.2901270225304</v>
      </c>
      <c r="Y5" s="8">
        <f t="shared" si="10"/>
        <v>1968.2901270225304</v>
      </c>
      <c r="Z5" s="8">
        <f t="shared" si="10"/>
        <v>1968.2901270225304</v>
      </c>
      <c r="AA5" s="8">
        <f t="shared" si="10"/>
        <v>1968.2901270225304</v>
      </c>
      <c r="AB5" s="8">
        <f t="shared" si="10"/>
        <v>1968.2901270225304</v>
      </c>
      <c r="AC5" s="8">
        <f t="shared" si="10"/>
        <v>1968.2901270225304</v>
      </c>
    </row>
    <row r="6" spans="1:29" x14ac:dyDescent="0.25">
      <c r="A6" s="4">
        <v>113</v>
      </c>
      <c r="B6" s="5">
        <v>499.21</v>
      </c>
      <c r="C6" s="9">
        <f t="shared" si="0"/>
        <v>2.7931863731940058E-2</v>
      </c>
      <c r="E6" s="5">
        <f t="shared" si="1"/>
        <v>5296.8310469427206</v>
      </c>
      <c r="F6" s="8">
        <f t="shared" si="2"/>
        <v>441.4025872452267</v>
      </c>
      <c r="H6" s="5">
        <f t="shared" si="6"/>
        <v>654.61115842174718</v>
      </c>
      <c r="I6" s="8">
        <f t="shared" si="3"/>
        <v>54.550929868478931</v>
      </c>
      <c r="K6" s="8">
        <f t="shared" si="7"/>
        <v>5951.4422053644676</v>
      </c>
      <c r="L6" s="8">
        <f t="shared" si="8"/>
        <v>495.95351711370563</v>
      </c>
      <c r="N6" s="8">
        <f t="shared" si="9"/>
        <v>39.077794635531973</v>
      </c>
      <c r="O6" s="8">
        <f t="shared" si="4"/>
        <v>3.25648288629435</v>
      </c>
    </row>
    <row r="7" spans="1:29" x14ac:dyDescent="0.25">
      <c r="A7" s="4">
        <v>114</v>
      </c>
      <c r="B7" s="5">
        <v>499.21</v>
      </c>
      <c r="C7" s="9">
        <f t="shared" si="0"/>
        <v>2.7931863731940058E-2</v>
      </c>
      <c r="E7" s="5">
        <f t="shared" si="1"/>
        <v>5296.8310469427206</v>
      </c>
      <c r="F7" s="8">
        <f t="shared" si="2"/>
        <v>441.4025872452267</v>
      </c>
      <c r="H7" s="5">
        <f t="shared" si="6"/>
        <v>654.61115842174718</v>
      </c>
      <c r="I7" s="8">
        <f t="shared" si="3"/>
        <v>54.550929868478931</v>
      </c>
      <c r="K7" s="8">
        <f t="shared" si="7"/>
        <v>5951.4422053644676</v>
      </c>
      <c r="L7" s="8">
        <f t="shared" si="8"/>
        <v>495.95351711370563</v>
      </c>
      <c r="N7" s="8">
        <f t="shared" si="9"/>
        <v>39.077794635531973</v>
      </c>
      <c r="O7" s="8">
        <f t="shared" si="4"/>
        <v>3.25648288629435</v>
      </c>
    </row>
    <row r="8" spans="1:29" x14ac:dyDescent="0.25">
      <c r="A8" s="4">
        <v>115</v>
      </c>
      <c r="B8" s="5">
        <v>582.41</v>
      </c>
      <c r="C8" s="9">
        <f t="shared" si="0"/>
        <v>3.2587081100377016E-2</v>
      </c>
      <c r="E8" s="5">
        <f t="shared" si="1"/>
        <v>6179.6185373888948</v>
      </c>
      <c r="F8" s="8">
        <f t="shared" si="2"/>
        <v>514.9682114490746</v>
      </c>
      <c r="H8" s="5">
        <f t="shared" si="6"/>
        <v>763.71083266843573</v>
      </c>
      <c r="I8" s="8">
        <f t="shared" si="3"/>
        <v>63.642569389036311</v>
      </c>
      <c r="K8" s="8">
        <f t="shared" si="7"/>
        <v>6943.3293700573304</v>
      </c>
      <c r="L8" s="8">
        <f t="shared" si="8"/>
        <v>578.61078083811083</v>
      </c>
      <c r="N8" s="8">
        <f t="shared" si="9"/>
        <v>45.590629942669693</v>
      </c>
      <c r="O8" s="8">
        <f t="shared" si="4"/>
        <v>3.7992191618891411</v>
      </c>
      <c r="Q8" s="6" t="s">
        <v>16</v>
      </c>
      <c r="R8" s="8">
        <f>SUM(R4:R7)</f>
        <v>17060.777145270022</v>
      </c>
      <c r="S8" s="8">
        <f t="shared" ref="S8:AC8" si="11">SUM(S4:S7)</f>
        <v>17060.777145270022</v>
      </c>
      <c r="T8" s="8">
        <f t="shared" si="11"/>
        <v>17771.123460355873</v>
      </c>
      <c r="U8" s="8">
        <f t="shared" si="11"/>
        <v>17771.123460355873</v>
      </c>
      <c r="V8" s="8">
        <f t="shared" si="11"/>
        <v>17771.123460355873</v>
      </c>
      <c r="W8" s="8">
        <f t="shared" si="11"/>
        <v>17771.123460355873</v>
      </c>
      <c r="X8" s="8">
        <f t="shared" si="11"/>
        <v>17771.123460355873</v>
      </c>
      <c r="Y8" s="8">
        <f t="shared" si="11"/>
        <v>17771.123460355873</v>
      </c>
      <c r="Z8" s="8">
        <f t="shared" si="11"/>
        <v>17771.123460355873</v>
      </c>
      <c r="AA8" s="8">
        <f t="shared" si="11"/>
        <v>17771.123460355873</v>
      </c>
      <c r="AB8" s="8">
        <f t="shared" si="11"/>
        <v>17771.123460355873</v>
      </c>
      <c r="AC8" s="8">
        <f t="shared" si="11"/>
        <v>17771.123460355873</v>
      </c>
    </row>
    <row r="9" spans="1:29" x14ac:dyDescent="0.25">
      <c r="A9" s="4">
        <v>116</v>
      </c>
      <c r="B9" s="5">
        <v>582.41</v>
      </c>
      <c r="C9" s="9">
        <f t="shared" si="0"/>
        <v>3.2587081100377016E-2</v>
      </c>
      <c r="E9" s="5">
        <f t="shared" si="1"/>
        <v>6179.6185373888948</v>
      </c>
      <c r="F9" s="8">
        <f t="shared" si="2"/>
        <v>514.9682114490746</v>
      </c>
      <c r="H9" s="5">
        <f t="shared" si="6"/>
        <v>763.71083266843573</v>
      </c>
      <c r="I9" s="8">
        <f t="shared" si="3"/>
        <v>63.642569389036311</v>
      </c>
      <c r="K9" s="8">
        <f t="shared" si="7"/>
        <v>6943.3293700573304</v>
      </c>
      <c r="L9" s="8">
        <f t="shared" si="8"/>
        <v>578.61078083811083</v>
      </c>
      <c r="N9" s="8">
        <f t="shared" si="9"/>
        <v>45.590629942669693</v>
      </c>
      <c r="O9" s="8">
        <f t="shared" si="4"/>
        <v>3.7992191618891411</v>
      </c>
    </row>
    <row r="10" spans="1:29" x14ac:dyDescent="0.25">
      <c r="A10" s="4">
        <v>121</v>
      </c>
      <c r="B10" s="5">
        <v>582.41</v>
      </c>
      <c r="C10" s="9">
        <f t="shared" si="0"/>
        <v>3.2587081100377016E-2</v>
      </c>
      <c r="E10" s="5">
        <f t="shared" si="1"/>
        <v>6179.6185373888948</v>
      </c>
      <c r="F10" s="8">
        <f t="shared" si="2"/>
        <v>514.9682114490746</v>
      </c>
      <c r="H10" s="5">
        <f t="shared" si="6"/>
        <v>763.71083266843573</v>
      </c>
      <c r="I10" s="8">
        <f t="shared" si="3"/>
        <v>63.642569389036311</v>
      </c>
      <c r="K10" s="8">
        <f t="shared" si="7"/>
        <v>6943.3293700573304</v>
      </c>
      <c r="L10" s="8">
        <f t="shared" si="8"/>
        <v>578.61078083811083</v>
      </c>
      <c r="N10" s="8">
        <f t="shared" si="9"/>
        <v>45.590629942669693</v>
      </c>
      <c r="O10" s="8">
        <f t="shared" si="4"/>
        <v>3.7992191618891411</v>
      </c>
      <c r="Q10" s="6" t="s">
        <v>90</v>
      </c>
      <c r="R10" s="8">
        <f>SUM(R8:AC8)-K38</f>
        <v>-1237.2111059011659</v>
      </c>
    </row>
    <row r="11" spans="1:29" x14ac:dyDescent="0.25">
      <c r="A11" s="4">
        <v>122</v>
      </c>
      <c r="B11" s="5">
        <v>582.41</v>
      </c>
      <c r="C11" s="9">
        <f t="shared" si="0"/>
        <v>3.2587081100377016E-2</v>
      </c>
      <c r="E11" s="5">
        <f t="shared" si="1"/>
        <v>6179.6185373888948</v>
      </c>
      <c r="F11" s="8">
        <f t="shared" si="2"/>
        <v>514.9682114490746</v>
      </c>
      <c r="H11" s="5">
        <f t="shared" si="6"/>
        <v>763.71083266843573</v>
      </c>
      <c r="I11" s="8">
        <f t="shared" si="3"/>
        <v>63.642569389036311</v>
      </c>
      <c r="K11" s="8">
        <f t="shared" si="7"/>
        <v>6943.3293700573304</v>
      </c>
      <c r="L11" s="8">
        <f t="shared" si="8"/>
        <v>578.61078083811083</v>
      </c>
      <c r="N11" s="8">
        <f t="shared" si="9"/>
        <v>45.590629942669693</v>
      </c>
      <c r="O11" s="8">
        <f t="shared" si="4"/>
        <v>3.7992191618891411</v>
      </c>
    </row>
    <row r="12" spans="1:29" x14ac:dyDescent="0.25">
      <c r="A12" s="4">
        <v>123</v>
      </c>
      <c r="B12" s="5">
        <v>499.21</v>
      </c>
      <c r="C12" s="9">
        <f t="shared" si="0"/>
        <v>2.7931863731940058E-2</v>
      </c>
      <c r="E12" s="5">
        <f t="shared" si="1"/>
        <v>5296.8310469427206</v>
      </c>
      <c r="F12" s="8">
        <f t="shared" si="2"/>
        <v>441.4025872452267</v>
      </c>
      <c r="H12" s="5">
        <f t="shared" si="6"/>
        <v>654.61115842174718</v>
      </c>
      <c r="I12" s="8">
        <f t="shared" si="3"/>
        <v>54.550929868478931</v>
      </c>
      <c r="K12" s="8">
        <f t="shared" si="7"/>
        <v>5951.4422053644676</v>
      </c>
      <c r="L12" s="8">
        <f t="shared" si="8"/>
        <v>495.95351711370563</v>
      </c>
      <c r="N12" s="8">
        <f t="shared" si="9"/>
        <v>39.077794635531973</v>
      </c>
      <c r="O12" s="8">
        <f t="shared" si="4"/>
        <v>3.25648288629435</v>
      </c>
    </row>
    <row r="13" spans="1:29" x14ac:dyDescent="0.25">
      <c r="A13" s="4">
        <v>124</v>
      </c>
      <c r="B13" s="85">
        <v>699.62</v>
      </c>
      <c r="C13" s="86">
        <f>B13/$B$38</f>
        <v>3.914523047242624E-2</v>
      </c>
      <c r="E13" s="5">
        <f t="shared" si="1"/>
        <v>7423.2666354080775</v>
      </c>
      <c r="F13" s="8">
        <f>E13/12</f>
        <v>618.60555295067309</v>
      </c>
      <c r="H13" s="5">
        <f t="shared" si="6"/>
        <v>917.40762135178136</v>
      </c>
      <c r="I13" s="8">
        <f>H13/10</f>
        <v>91.74076213517813</v>
      </c>
      <c r="K13" s="8">
        <f t="shared" si="7"/>
        <v>8340.6742567598594</v>
      </c>
      <c r="L13" s="8">
        <f>K13/12</f>
        <v>695.05618806332166</v>
      </c>
      <c r="N13" s="8">
        <f t="shared" si="9"/>
        <v>54.765743240141092</v>
      </c>
      <c r="O13" s="8">
        <f t="shared" si="4"/>
        <v>4.5638119366783485</v>
      </c>
      <c r="Q13" s="6" t="s">
        <v>352</v>
      </c>
      <c r="S13" s="87" t="s">
        <v>352</v>
      </c>
    </row>
    <row r="14" spans="1:29" x14ac:dyDescent="0.25">
      <c r="A14" s="4">
        <v>211</v>
      </c>
      <c r="B14" s="5">
        <v>582.41</v>
      </c>
      <c r="C14" s="9">
        <f t="shared" si="0"/>
        <v>3.2587081100377016E-2</v>
      </c>
      <c r="E14" s="5">
        <f t="shared" si="1"/>
        <v>6179.6185373888948</v>
      </c>
      <c r="F14" s="8">
        <f t="shared" ref="F14:F36" si="12">E14/12</f>
        <v>514.9682114490746</v>
      </c>
      <c r="H14" s="5">
        <f t="shared" si="6"/>
        <v>763.71083266843573</v>
      </c>
      <c r="I14" s="8">
        <f t="shared" ref="I14:I36" si="13">H14/12</f>
        <v>63.642569389036311</v>
      </c>
      <c r="K14" s="8">
        <f t="shared" si="7"/>
        <v>6943.3293700573304</v>
      </c>
      <c r="L14" s="8">
        <f t="shared" ref="L14:L36" si="14">K14/12</f>
        <v>578.61078083811083</v>
      </c>
      <c r="N14" s="8">
        <f t="shared" si="9"/>
        <v>45.590629942669693</v>
      </c>
      <c r="O14" s="8">
        <f t="shared" si="4"/>
        <v>3.7992191618891411</v>
      </c>
    </row>
    <row r="15" spans="1:29" x14ac:dyDescent="0.25">
      <c r="A15" s="4">
        <v>212</v>
      </c>
      <c r="B15" s="5">
        <v>582.41</v>
      </c>
      <c r="C15" s="9">
        <f t="shared" si="0"/>
        <v>3.2587081100377016E-2</v>
      </c>
      <c r="E15" s="5">
        <f t="shared" si="1"/>
        <v>6179.6185373888948</v>
      </c>
      <c r="F15" s="8">
        <f t="shared" si="12"/>
        <v>514.9682114490746</v>
      </c>
      <c r="H15" s="5">
        <f t="shared" si="6"/>
        <v>763.71083266843573</v>
      </c>
      <c r="I15" s="8">
        <f t="shared" si="13"/>
        <v>63.642569389036311</v>
      </c>
      <c r="K15" s="8">
        <f t="shared" si="7"/>
        <v>6943.3293700573304</v>
      </c>
      <c r="L15" s="8">
        <f t="shared" si="14"/>
        <v>578.61078083811083</v>
      </c>
      <c r="N15" s="8">
        <f t="shared" si="9"/>
        <v>45.590629942669693</v>
      </c>
      <c r="O15" s="8">
        <f t="shared" si="4"/>
        <v>3.7992191618891411</v>
      </c>
    </row>
    <row r="16" spans="1:29" x14ac:dyDescent="0.25">
      <c r="A16" s="4">
        <v>213</v>
      </c>
      <c r="B16" s="5">
        <v>499.21</v>
      </c>
      <c r="C16" s="9">
        <f t="shared" si="0"/>
        <v>2.7931863731940058E-2</v>
      </c>
      <c r="E16" s="5">
        <f t="shared" si="1"/>
        <v>5296.8310469427206</v>
      </c>
      <c r="F16" s="8">
        <f t="shared" si="12"/>
        <v>441.4025872452267</v>
      </c>
      <c r="H16" s="5">
        <f t="shared" si="6"/>
        <v>654.61115842174718</v>
      </c>
      <c r="I16" s="8">
        <f t="shared" si="13"/>
        <v>54.550929868478931</v>
      </c>
      <c r="K16" s="8">
        <f t="shared" si="7"/>
        <v>5951.4422053644676</v>
      </c>
      <c r="L16" s="8">
        <f t="shared" si="14"/>
        <v>495.95351711370563</v>
      </c>
      <c r="N16" s="8">
        <f t="shared" si="9"/>
        <v>39.077794635531973</v>
      </c>
      <c r="O16" s="8">
        <f t="shared" si="4"/>
        <v>3.25648288629435</v>
      </c>
    </row>
    <row r="17" spans="1:15" x14ac:dyDescent="0.25">
      <c r="A17" s="4">
        <v>214</v>
      </c>
      <c r="B17" s="5">
        <v>499.21</v>
      </c>
      <c r="C17" s="9">
        <f t="shared" si="0"/>
        <v>2.7931863731940058E-2</v>
      </c>
      <c r="E17" s="5">
        <f t="shared" si="1"/>
        <v>5296.8310469427206</v>
      </c>
      <c r="F17" s="8">
        <f t="shared" si="12"/>
        <v>441.4025872452267</v>
      </c>
      <c r="H17" s="5">
        <f t="shared" si="6"/>
        <v>654.61115842174718</v>
      </c>
      <c r="I17" s="8">
        <f t="shared" si="13"/>
        <v>54.550929868478931</v>
      </c>
      <c r="K17" s="8">
        <f t="shared" si="7"/>
        <v>5951.4422053644676</v>
      </c>
      <c r="L17" s="8">
        <f t="shared" si="14"/>
        <v>495.95351711370563</v>
      </c>
      <c r="N17" s="8">
        <f t="shared" si="9"/>
        <v>39.077794635531973</v>
      </c>
      <c r="O17" s="8">
        <f t="shared" si="4"/>
        <v>3.25648288629435</v>
      </c>
    </row>
    <row r="18" spans="1:15" x14ac:dyDescent="0.25">
      <c r="A18" s="4">
        <v>215</v>
      </c>
      <c r="B18" s="5">
        <v>582.41</v>
      </c>
      <c r="C18" s="9">
        <f t="shared" si="0"/>
        <v>3.2587081100377016E-2</v>
      </c>
      <c r="E18" s="5">
        <f t="shared" si="1"/>
        <v>6179.6185373888948</v>
      </c>
      <c r="F18" s="8">
        <f t="shared" si="12"/>
        <v>514.9682114490746</v>
      </c>
      <c r="H18" s="5">
        <f t="shared" si="6"/>
        <v>763.71083266843573</v>
      </c>
      <c r="I18" s="8">
        <f t="shared" si="13"/>
        <v>63.642569389036311</v>
      </c>
      <c r="K18" s="8">
        <f t="shared" si="7"/>
        <v>6943.3293700573304</v>
      </c>
      <c r="L18" s="8">
        <f t="shared" si="14"/>
        <v>578.61078083811083</v>
      </c>
      <c r="N18" s="8">
        <f t="shared" si="9"/>
        <v>45.590629942669693</v>
      </c>
      <c r="O18" s="8">
        <f t="shared" si="4"/>
        <v>3.7992191618891411</v>
      </c>
    </row>
    <row r="19" spans="1:15" x14ac:dyDescent="0.25">
      <c r="A19" s="4">
        <v>216</v>
      </c>
      <c r="B19" s="5">
        <v>582.41</v>
      </c>
      <c r="C19" s="9">
        <f t="shared" si="0"/>
        <v>3.2587081100377016E-2</v>
      </c>
      <c r="E19" s="5">
        <f t="shared" si="1"/>
        <v>6179.6185373888948</v>
      </c>
      <c r="F19" s="8">
        <f t="shared" si="12"/>
        <v>514.9682114490746</v>
      </c>
      <c r="H19" s="5">
        <f t="shared" si="6"/>
        <v>763.71083266843573</v>
      </c>
      <c r="I19" s="8">
        <f t="shared" si="13"/>
        <v>63.642569389036311</v>
      </c>
      <c r="K19" s="8">
        <f t="shared" si="7"/>
        <v>6943.3293700573304</v>
      </c>
      <c r="L19" s="8">
        <f t="shared" si="14"/>
        <v>578.61078083811083</v>
      </c>
      <c r="N19" s="8">
        <f t="shared" si="9"/>
        <v>45.590629942669693</v>
      </c>
      <c r="O19" s="8">
        <f t="shared" si="4"/>
        <v>3.7992191618891411</v>
      </c>
    </row>
    <row r="20" spans="1:15" x14ac:dyDescent="0.25">
      <c r="A20" s="4">
        <v>221</v>
      </c>
      <c r="B20" s="5">
        <v>582.41</v>
      </c>
      <c r="C20" s="9">
        <f t="shared" si="0"/>
        <v>3.2587081100377016E-2</v>
      </c>
      <c r="E20" s="5">
        <f t="shared" si="1"/>
        <v>6179.6185373888948</v>
      </c>
      <c r="F20" s="8">
        <f t="shared" si="12"/>
        <v>514.9682114490746</v>
      </c>
      <c r="H20" s="5">
        <f t="shared" si="6"/>
        <v>763.71083266843573</v>
      </c>
      <c r="I20" s="8">
        <f t="shared" si="13"/>
        <v>63.642569389036311</v>
      </c>
      <c r="K20" s="8">
        <f t="shared" si="7"/>
        <v>6943.3293700573304</v>
      </c>
      <c r="L20" s="8">
        <f t="shared" si="14"/>
        <v>578.61078083811083</v>
      </c>
      <c r="N20" s="8">
        <f t="shared" si="9"/>
        <v>45.590629942669693</v>
      </c>
      <c r="O20" s="8">
        <f t="shared" si="4"/>
        <v>3.7992191618891411</v>
      </c>
    </row>
    <row r="21" spans="1:15" x14ac:dyDescent="0.25">
      <c r="A21" s="4">
        <v>222</v>
      </c>
      <c r="B21" s="5">
        <v>582.41</v>
      </c>
      <c r="C21" s="9">
        <f t="shared" si="0"/>
        <v>3.2587081100377016E-2</v>
      </c>
      <c r="E21" s="5">
        <f t="shared" si="1"/>
        <v>6179.6185373888948</v>
      </c>
      <c r="F21" s="8">
        <f t="shared" si="12"/>
        <v>514.9682114490746</v>
      </c>
      <c r="H21" s="5">
        <f t="shared" si="6"/>
        <v>763.71083266843573</v>
      </c>
      <c r="I21" s="8">
        <f t="shared" si="13"/>
        <v>63.642569389036311</v>
      </c>
      <c r="K21" s="8">
        <f t="shared" si="7"/>
        <v>6943.3293700573304</v>
      </c>
      <c r="L21" s="8">
        <f t="shared" si="14"/>
        <v>578.61078083811083</v>
      </c>
      <c r="N21" s="8">
        <f t="shared" si="9"/>
        <v>45.590629942669693</v>
      </c>
      <c r="O21" s="8">
        <f t="shared" si="4"/>
        <v>3.7992191618891411</v>
      </c>
    </row>
    <row r="22" spans="1:15" x14ac:dyDescent="0.25">
      <c r="A22" s="4">
        <v>223</v>
      </c>
      <c r="B22" s="5">
        <v>499.21</v>
      </c>
      <c r="C22" s="9">
        <f t="shared" si="0"/>
        <v>2.7931863731940058E-2</v>
      </c>
      <c r="E22" s="5">
        <f t="shared" si="1"/>
        <v>5296.8310469427206</v>
      </c>
      <c r="F22" s="8">
        <f t="shared" si="12"/>
        <v>441.4025872452267</v>
      </c>
      <c r="H22" s="5">
        <f t="shared" si="6"/>
        <v>654.61115842174718</v>
      </c>
      <c r="I22" s="8">
        <f t="shared" si="13"/>
        <v>54.550929868478931</v>
      </c>
      <c r="K22" s="8">
        <f t="shared" si="7"/>
        <v>5951.4422053644676</v>
      </c>
      <c r="L22" s="8">
        <f t="shared" si="14"/>
        <v>495.95351711370563</v>
      </c>
      <c r="N22" s="8">
        <f t="shared" si="9"/>
        <v>39.077794635531973</v>
      </c>
      <c r="O22" s="8">
        <f t="shared" si="4"/>
        <v>3.25648288629435</v>
      </c>
    </row>
    <row r="23" spans="1:15" x14ac:dyDescent="0.25">
      <c r="A23" s="4">
        <v>224</v>
      </c>
      <c r="B23" s="5">
        <v>499.21</v>
      </c>
      <c r="C23" s="9">
        <f t="shared" si="0"/>
        <v>2.7931863731940058E-2</v>
      </c>
      <c r="E23" s="5">
        <f t="shared" si="1"/>
        <v>5296.8310469427206</v>
      </c>
      <c r="F23" s="8">
        <f t="shared" si="12"/>
        <v>441.4025872452267</v>
      </c>
      <c r="H23" s="5">
        <f t="shared" si="6"/>
        <v>654.61115842174718</v>
      </c>
      <c r="I23" s="8">
        <f t="shared" si="13"/>
        <v>54.550929868478931</v>
      </c>
      <c r="K23" s="8">
        <f t="shared" si="7"/>
        <v>5951.4422053644676</v>
      </c>
      <c r="L23" s="8">
        <f t="shared" si="14"/>
        <v>495.95351711370563</v>
      </c>
      <c r="N23" s="8">
        <f t="shared" si="9"/>
        <v>39.077794635531973</v>
      </c>
      <c r="O23" s="8">
        <f t="shared" si="4"/>
        <v>3.25648288629435</v>
      </c>
    </row>
    <row r="24" spans="1:15" x14ac:dyDescent="0.25">
      <c r="A24" s="4">
        <v>225</v>
      </c>
      <c r="B24" s="5">
        <v>399.37</v>
      </c>
      <c r="C24" s="9">
        <f t="shared" si="0"/>
        <v>2.2345602889815713E-2</v>
      </c>
      <c r="E24" s="5">
        <f t="shared" si="1"/>
        <v>4237.4860584073131</v>
      </c>
      <c r="F24" s="8">
        <f t="shared" si="12"/>
        <v>353.12383820060944</v>
      </c>
      <c r="H24" s="5">
        <f t="shared" si="6"/>
        <v>523.6915493257211</v>
      </c>
      <c r="I24" s="8">
        <f t="shared" si="13"/>
        <v>43.640962443810089</v>
      </c>
      <c r="K24" s="8">
        <f t="shared" si="7"/>
        <v>4761.1776077330342</v>
      </c>
      <c r="L24" s="8">
        <f t="shared" si="14"/>
        <v>396.76480064441949</v>
      </c>
      <c r="N24" s="8">
        <f t="shared" si="9"/>
        <v>31.262392266966344</v>
      </c>
      <c r="O24" s="8">
        <f t="shared" si="4"/>
        <v>2.6051993555805097</v>
      </c>
    </row>
    <row r="25" spans="1:15" x14ac:dyDescent="0.25">
      <c r="A25" s="4">
        <v>226</v>
      </c>
      <c r="B25" s="5">
        <v>399.37</v>
      </c>
      <c r="C25" s="9">
        <f t="shared" si="0"/>
        <v>2.2345602889815713E-2</v>
      </c>
      <c r="E25" s="5">
        <f t="shared" si="1"/>
        <v>4237.4860584073131</v>
      </c>
      <c r="F25" s="8">
        <f t="shared" si="12"/>
        <v>353.12383820060944</v>
      </c>
      <c r="H25" s="5">
        <f t="shared" si="6"/>
        <v>523.6915493257211</v>
      </c>
      <c r="I25" s="8">
        <f t="shared" si="13"/>
        <v>43.640962443810089</v>
      </c>
      <c r="K25" s="8">
        <f t="shared" si="7"/>
        <v>4761.1776077330342</v>
      </c>
      <c r="L25" s="8">
        <f t="shared" si="14"/>
        <v>396.76480064441949</v>
      </c>
      <c r="N25" s="8">
        <f t="shared" si="9"/>
        <v>31.262392266966344</v>
      </c>
      <c r="O25" s="8">
        <f t="shared" si="4"/>
        <v>2.6051993555805097</v>
      </c>
    </row>
    <row r="26" spans="1:15" x14ac:dyDescent="0.25">
      <c r="A26" s="4">
        <v>227</v>
      </c>
      <c r="B26" s="5">
        <v>399.37</v>
      </c>
      <c r="C26" s="9">
        <f t="shared" si="0"/>
        <v>2.2345602889815713E-2</v>
      </c>
      <c r="E26" s="5">
        <f t="shared" si="1"/>
        <v>4237.4860584073131</v>
      </c>
      <c r="F26" s="8">
        <f t="shared" si="12"/>
        <v>353.12383820060944</v>
      </c>
      <c r="H26" s="5">
        <f t="shared" si="6"/>
        <v>523.6915493257211</v>
      </c>
      <c r="I26" s="8">
        <f t="shared" si="13"/>
        <v>43.640962443810089</v>
      </c>
      <c r="K26" s="8">
        <f t="shared" si="7"/>
        <v>4761.1776077330342</v>
      </c>
      <c r="L26" s="8">
        <f t="shared" si="14"/>
        <v>396.76480064441949</v>
      </c>
      <c r="N26" s="8">
        <f t="shared" si="9"/>
        <v>31.262392266966344</v>
      </c>
      <c r="O26" s="8">
        <f t="shared" si="4"/>
        <v>2.6051993555805097</v>
      </c>
    </row>
    <row r="27" spans="1:15" x14ac:dyDescent="0.25">
      <c r="A27" s="4">
        <v>311</v>
      </c>
      <c r="B27" s="5">
        <v>582.41</v>
      </c>
      <c r="C27" s="9">
        <f t="shared" si="0"/>
        <v>3.2587081100377016E-2</v>
      </c>
      <c r="E27" s="5">
        <f t="shared" si="1"/>
        <v>6179.6185373888948</v>
      </c>
      <c r="F27" s="8">
        <f t="shared" si="12"/>
        <v>514.9682114490746</v>
      </c>
      <c r="H27" s="5">
        <f t="shared" si="6"/>
        <v>763.71083266843573</v>
      </c>
      <c r="I27" s="8">
        <f t="shared" si="13"/>
        <v>63.642569389036311</v>
      </c>
      <c r="K27" s="8">
        <f t="shared" si="7"/>
        <v>6943.3293700573304</v>
      </c>
      <c r="L27" s="8">
        <f t="shared" si="14"/>
        <v>578.61078083811083</v>
      </c>
      <c r="N27" s="8">
        <f t="shared" si="9"/>
        <v>45.590629942669693</v>
      </c>
      <c r="O27" s="8">
        <f t="shared" si="4"/>
        <v>3.7992191618891411</v>
      </c>
    </row>
    <row r="28" spans="1:15" x14ac:dyDescent="0.25">
      <c r="A28" s="4">
        <v>312</v>
      </c>
      <c r="B28" s="5">
        <v>582.41</v>
      </c>
      <c r="C28" s="9">
        <f t="shared" si="0"/>
        <v>3.2587081100377016E-2</v>
      </c>
      <c r="E28" s="5">
        <f t="shared" si="1"/>
        <v>6179.6185373888948</v>
      </c>
      <c r="F28" s="8">
        <f t="shared" si="12"/>
        <v>514.9682114490746</v>
      </c>
      <c r="H28" s="5">
        <f t="shared" si="6"/>
        <v>763.71083266843573</v>
      </c>
      <c r="I28" s="8">
        <f t="shared" si="13"/>
        <v>63.642569389036311</v>
      </c>
      <c r="K28" s="8">
        <f t="shared" si="7"/>
        <v>6943.3293700573304</v>
      </c>
      <c r="L28" s="8">
        <f t="shared" si="14"/>
        <v>578.61078083811083</v>
      </c>
      <c r="N28" s="8">
        <f t="shared" si="9"/>
        <v>45.590629942669693</v>
      </c>
      <c r="O28" s="8">
        <f t="shared" si="4"/>
        <v>3.7992191618891411</v>
      </c>
    </row>
    <row r="29" spans="1:15" x14ac:dyDescent="0.25">
      <c r="A29" s="4">
        <v>313</v>
      </c>
      <c r="B29" s="5">
        <v>499.21</v>
      </c>
      <c r="C29" s="9">
        <f t="shared" si="0"/>
        <v>2.7931863731940058E-2</v>
      </c>
      <c r="E29" s="5">
        <f t="shared" si="1"/>
        <v>5296.8310469427206</v>
      </c>
      <c r="F29" s="8">
        <f t="shared" si="12"/>
        <v>441.4025872452267</v>
      </c>
      <c r="H29" s="5">
        <f t="shared" si="6"/>
        <v>654.61115842174718</v>
      </c>
      <c r="I29" s="8">
        <f t="shared" si="13"/>
        <v>54.550929868478931</v>
      </c>
      <c r="K29" s="8">
        <f t="shared" si="7"/>
        <v>5951.4422053644676</v>
      </c>
      <c r="L29" s="8">
        <f t="shared" si="14"/>
        <v>495.95351711370563</v>
      </c>
      <c r="N29" s="8">
        <f t="shared" si="9"/>
        <v>39.077794635531973</v>
      </c>
      <c r="O29" s="8">
        <f t="shared" si="4"/>
        <v>3.25648288629435</v>
      </c>
    </row>
    <row r="30" spans="1:15" x14ac:dyDescent="0.25">
      <c r="A30" s="4">
        <v>314</v>
      </c>
      <c r="B30" s="5">
        <v>499.21</v>
      </c>
      <c r="C30" s="9">
        <f t="shared" si="0"/>
        <v>2.7931863731940058E-2</v>
      </c>
      <c r="E30" s="5">
        <f t="shared" si="1"/>
        <v>5296.8310469427206</v>
      </c>
      <c r="F30" s="8">
        <f t="shared" si="12"/>
        <v>441.4025872452267</v>
      </c>
      <c r="H30" s="5">
        <f t="shared" si="6"/>
        <v>654.61115842174718</v>
      </c>
      <c r="I30" s="8">
        <f t="shared" si="13"/>
        <v>54.550929868478931</v>
      </c>
      <c r="K30" s="8">
        <f t="shared" si="7"/>
        <v>5951.4422053644676</v>
      </c>
      <c r="L30" s="8">
        <f t="shared" si="14"/>
        <v>495.95351711370563</v>
      </c>
      <c r="N30" s="8">
        <f t="shared" si="9"/>
        <v>39.077794635531973</v>
      </c>
      <c r="O30" s="8">
        <f t="shared" si="4"/>
        <v>3.25648288629435</v>
      </c>
    </row>
    <row r="31" spans="1:15" x14ac:dyDescent="0.25">
      <c r="A31" s="4">
        <v>315</v>
      </c>
      <c r="B31" s="5">
        <v>582.41</v>
      </c>
      <c r="C31" s="9">
        <f t="shared" si="0"/>
        <v>3.2587081100377016E-2</v>
      </c>
      <c r="E31" s="5">
        <f t="shared" si="1"/>
        <v>6179.6185373888948</v>
      </c>
      <c r="F31" s="8">
        <f t="shared" si="12"/>
        <v>514.9682114490746</v>
      </c>
      <c r="H31" s="5">
        <f t="shared" si="6"/>
        <v>763.71083266843573</v>
      </c>
      <c r="I31" s="8">
        <f t="shared" si="13"/>
        <v>63.642569389036311</v>
      </c>
      <c r="K31" s="8">
        <f t="shared" si="7"/>
        <v>6943.3293700573304</v>
      </c>
      <c r="L31" s="8">
        <f t="shared" si="14"/>
        <v>578.61078083811083</v>
      </c>
      <c r="N31" s="8">
        <f t="shared" si="9"/>
        <v>45.590629942669693</v>
      </c>
      <c r="O31" s="8">
        <f t="shared" si="4"/>
        <v>3.7992191618891411</v>
      </c>
    </row>
    <row r="32" spans="1:15" x14ac:dyDescent="0.25">
      <c r="A32" s="4">
        <v>316</v>
      </c>
      <c r="B32" s="5">
        <v>582.41</v>
      </c>
      <c r="C32" s="9">
        <f t="shared" si="0"/>
        <v>3.2587081100377016E-2</v>
      </c>
      <c r="E32" s="5">
        <f t="shared" si="1"/>
        <v>6179.6185373888948</v>
      </c>
      <c r="F32" s="8">
        <f t="shared" si="12"/>
        <v>514.9682114490746</v>
      </c>
      <c r="H32" s="5">
        <f t="shared" si="6"/>
        <v>763.71083266843573</v>
      </c>
      <c r="I32" s="8">
        <f t="shared" si="13"/>
        <v>63.642569389036311</v>
      </c>
      <c r="K32" s="8">
        <f t="shared" si="7"/>
        <v>6943.3293700573304</v>
      </c>
      <c r="L32" s="8">
        <f t="shared" si="14"/>
        <v>578.61078083811083</v>
      </c>
      <c r="N32" s="8">
        <f t="shared" si="9"/>
        <v>45.590629942669693</v>
      </c>
      <c r="O32" s="8">
        <f t="shared" si="4"/>
        <v>3.7992191618891411</v>
      </c>
    </row>
    <row r="33" spans="1:15" x14ac:dyDescent="0.25">
      <c r="A33" s="4">
        <v>321</v>
      </c>
      <c r="B33" s="5">
        <v>582.41</v>
      </c>
      <c r="C33" s="9">
        <f t="shared" si="0"/>
        <v>3.2587081100377016E-2</v>
      </c>
      <c r="E33" s="5">
        <f t="shared" si="1"/>
        <v>6179.6185373888948</v>
      </c>
      <c r="F33" s="8">
        <f t="shared" si="12"/>
        <v>514.9682114490746</v>
      </c>
      <c r="H33" s="5">
        <f t="shared" si="6"/>
        <v>763.71083266843573</v>
      </c>
      <c r="I33" s="8">
        <f t="shared" si="13"/>
        <v>63.642569389036311</v>
      </c>
      <c r="K33" s="8">
        <f t="shared" si="7"/>
        <v>6943.3293700573304</v>
      </c>
      <c r="L33" s="8">
        <f t="shared" si="14"/>
        <v>578.61078083811083</v>
      </c>
      <c r="N33" s="8">
        <f t="shared" si="9"/>
        <v>45.590629942669693</v>
      </c>
      <c r="O33" s="8">
        <f t="shared" si="4"/>
        <v>3.7992191618891411</v>
      </c>
    </row>
    <row r="34" spans="1:15" x14ac:dyDescent="0.25">
      <c r="A34" s="4">
        <v>322</v>
      </c>
      <c r="B34" s="5">
        <v>582.41</v>
      </c>
      <c r="C34" s="9">
        <f t="shared" si="0"/>
        <v>3.2587081100377016E-2</v>
      </c>
      <c r="E34" s="5">
        <f t="shared" si="1"/>
        <v>6179.6185373888948</v>
      </c>
      <c r="F34" s="8">
        <f t="shared" si="12"/>
        <v>514.9682114490746</v>
      </c>
      <c r="H34" s="5">
        <f t="shared" si="6"/>
        <v>763.71083266843573</v>
      </c>
      <c r="I34" s="8">
        <f t="shared" si="13"/>
        <v>63.642569389036311</v>
      </c>
      <c r="K34" s="8">
        <f t="shared" si="7"/>
        <v>6943.3293700573304</v>
      </c>
      <c r="L34" s="8">
        <f t="shared" si="14"/>
        <v>578.61078083811083</v>
      </c>
      <c r="N34" s="8">
        <f t="shared" si="9"/>
        <v>45.590629942669693</v>
      </c>
      <c r="O34" s="8">
        <f t="shared" si="4"/>
        <v>3.7992191618891411</v>
      </c>
    </row>
    <row r="35" spans="1:15" x14ac:dyDescent="0.25">
      <c r="A35" s="4">
        <v>323</v>
      </c>
      <c r="B35" s="5">
        <v>499.21</v>
      </c>
      <c r="C35" s="9">
        <f t="shared" si="0"/>
        <v>2.7931863731940058E-2</v>
      </c>
      <c r="E35" s="5">
        <f t="shared" si="1"/>
        <v>5296.8310469427206</v>
      </c>
      <c r="F35" s="8">
        <f t="shared" si="12"/>
        <v>441.4025872452267</v>
      </c>
      <c r="H35" s="5">
        <f t="shared" si="6"/>
        <v>654.61115842174718</v>
      </c>
      <c r="I35" s="8">
        <f t="shared" si="13"/>
        <v>54.550929868478931</v>
      </c>
      <c r="K35" s="8">
        <f t="shared" si="7"/>
        <v>5951.4422053644676</v>
      </c>
      <c r="L35" s="8">
        <f t="shared" si="14"/>
        <v>495.95351711370563</v>
      </c>
      <c r="N35" s="8">
        <f t="shared" si="9"/>
        <v>39.077794635531973</v>
      </c>
      <c r="O35" s="8">
        <f t="shared" si="4"/>
        <v>3.25648288629435</v>
      </c>
    </row>
    <row r="36" spans="1:15" x14ac:dyDescent="0.25">
      <c r="A36" s="4">
        <v>324</v>
      </c>
      <c r="B36" s="5">
        <v>499.21</v>
      </c>
      <c r="C36" s="9">
        <f t="shared" si="0"/>
        <v>2.7931863731940058E-2</v>
      </c>
      <c r="E36" s="5">
        <f t="shared" si="1"/>
        <v>5296.8310469427206</v>
      </c>
      <c r="F36" s="8">
        <f t="shared" si="12"/>
        <v>441.4025872452267</v>
      </c>
      <c r="H36" s="5">
        <f t="shared" si="6"/>
        <v>654.61115842174718</v>
      </c>
      <c r="I36" s="8">
        <f t="shared" si="13"/>
        <v>54.550929868478931</v>
      </c>
      <c r="K36" s="8">
        <f t="shared" si="7"/>
        <v>5951.4422053644676</v>
      </c>
      <c r="L36" s="8">
        <f t="shared" si="14"/>
        <v>495.95351711370563</v>
      </c>
      <c r="N36" s="8">
        <f t="shared" si="9"/>
        <v>39.077794635531973</v>
      </c>
      <c r="O36" s="8">
        <f t="shared" si="4"/>
        <v>3.25648288629435</v>
      </c>
    </row>
    <row r="38" spans="1:15" s="6" customFormat="1" x14ac:dyDescent="0.25">
      <c r="B38" s="7">
        <f>SUM(B4:B37)</f>
        <v>17872.419999999995</v>
      </c>
      <c r="E38" s="7">
        <f>SUM(E4:E37)</f>
        <v>189633.99999999994</v>
      </c>
      <c r="H38" s="7">
        <f>SUM(H4:H37)</f>
        <v>23436.000000000004</v>
      </c>
      <c r="K38" s="7">
        <f>SUM(K4:K37)</f>
        <v>213069.99999999997</v>
      </c>
    </row>
  </sheetData>
  <mergeCells count="5">
    <mergeCell ref="E2:F2"/>
    <mergeCell ref="K2:L2"/>
    <mergeCell ref="H2:I2"/>
    <mergeCell ref="N2:O2"/>
    <mergeCell ref="A1:C1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B2021-C60F-4C13-ADA2-293007A2940E}">
  <dimension ref="A1:O92"/>
  <sheetViews>
    <sheetView workbookViewId="0">
      <pane ySplit="1" topLeftCell="A54" activePane="bottomLeft" state="frozen"/>
      <selection pane="bottomLeft" activeCell="L34" sqref="L34"/>
    </sheetView>
  </sheetViews>
  <sheetFormatPr defaultRowHeight="15" x14ac:dyDescent="0.25"/>
  <cols>
    <col min="1" max="1" width="52.42578125" customWidth="1"/>
    <col min="2" max="2" width="14.85546875" customWidth="1"/>
    <col min="3" max="3" width="11.5703125" bestFit="1" customWidth="1"/>
    <col min="4" max="4" width="14.85546875" customWidth="1"/>
    <col min="5" max="8" width="11.7109375" bestFit="1" customWidth="1"/>
    <col min="9" max="9" width="11.28515625" bestFit="1" customWidth="1"/>
    <col min="10" max="10" width="11.7109375" bestFit="1" customWidth="1"/>
    <col min="11" max="11" width="11.140625" bestFit="1" customWidth="1"/>
    <col min="12" max="12" width="11.42578125" bestFit="1" customWidth="1"/>
    <col min="13" max="13" width="11.7109375" bestFit="1" customWidth="1"/>
    <col min="14" max="14" width="14.28515625" bestFit="1" customWidth="1"/>
    <col min="15" max="15" width="17.140625" customWidth="1"/>
  </cols>
  <sheetData>
    <row r="1" spans="1:14" ht="16.5" x14ac:dyDescent="0.25">
      <c r="A1" s="42" t="s">
        <v>103</v>
      </c>
      <c r="B1" s="42" t="s">
        <v>104</v>
      </c>
      <c r="C1" s="42" t="s">
        <v>105</v>
      </c>
      <c r="D1" s="42" t="s">
        <v>106</v>
      </c>
      <c r="E1" s="42" t="s">
        <v>107</v>
      </c>
      <c r="F1" s="42" t="s">
        <v>108</v>
      </c>
      <c r="G1" s="42" t="s">
        <v>109</v>
      </c>
      <c r="H1" s="42" t="s">
        <v>110</v>
      </c>
      <c r="I1" s="42" t="s">
        <v>111</v>
      </c>
      <c r="J1" s="42" t="s">
        <v>112</v>
      </c>
      <c r="K1" s="42" t="s">
        <v>113</v>
      </c>
      <c r="L1" s="42" t="s">
        <v>114</v>
      </c>
      <c r="M1" s="42" t="s">
        <v>115</v>
      </c>
      <c r="N1" s="42" t="s">
        <v>116</v>
      </c>
    </row>
    <row r="2" spans="1:14" ht="15.75" x14ac:dyDescent="0.25">
      <c r="A2" s="43" t="s">
        <v>117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</row>
    <row r="3" spans="1:14" ht="15.75" x14ac:dyDescent="0.25">
      <c r="A3" s="43" t="s">
        <v>118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.75" x14ac:dyDescent="0.25">
      <c r="A4" s="43" t="s">
        <v>119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4" ht="15.75" x14ac:dyDescent="0.25">
      <c r="A5" s="45" t="s">
        <v>120</v>
      </c>
      <c r="B5" s="46">
        <v>0</v>
      </c>
      <c r="C5" s="46">
        <v>0</v>
      </c>
      <c r="D5" s="46">
        <v>720000</v>
      </c>
      <c r="E5" s="46">
        <v>0</v>
      </c>
      <c r="F5" s="46">
        <v>0</v>
      </c>
      <c r="G5" s="46">
        <v>0</v>
      </c>
      <c r="H5" s="46">
        <v>0</v>
      </c>
      <c r="I5" s="46">
        <v>0</v>
      </c>
      <c r="J5" s="46">
        <v>0</v>
      </c>
      <c r="K5" s="46">
        <v>0</v>
      </c>
      <c r="L5" s="46">
        <v>0</v>
      </c>
      <c r="M5" s="46">
        <v>0</v>
      </c>
      <c r="N5" s="79">
        <f t="shared" ref="N5:N9" si="0">SUM(B5:M5)</f>
        <v>720000</v>
      </c>
    </row>
    <row r="6" spans="1:14" ht="15.75" x14ac:dyDescent="0.25">
      <c r="A6" s="45" t="s">
        <v>121</v>
      </c>
      <c r="B6" s="46">
        <v>812.9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79">
        <f t="shared" si="0"/>
        <v>812.9</v>
      </c>
    </row>
    <row r="7" spans="1:14" ht="15.75" x14ac:dyDescent="0.25">
      <c r="A7" s="45" t="s">
        <v>122</v>
      </c>
      <c r="B7" s="46">
        <v>15219.82</v>
      </c>
      <c r="C7" s="46">
        <v>15219.82</v>
      </c>
      <c r="D7" s="46">
        <v>15592.95</v>
      </c>
      <c r="E7" s="46">
        <v>15919.44</v>
      </c>
      <c r="F7" s="46">
        <v>15919.44</v>
      </c>
      <c r="G7" s="46">
        <v>15919.44</v>
      </c>
      <c r="H7" s="46">
        <v>15919.44</v>
      </c>
      <c r="I7" s="46">
        <v>15919.44</v>
      </c>
      <c r="J7" s="46">
        <v>15919.44</v>
      </c>
      <c r="K7" s="46">
        <v>15919.44</v>
      </c>
      <c r="L7" s="46">
        <v>15919.44</v>
      </c>
      <c r="M7" s="46">
        <v>15919.44</v>
      </c>
      <c r="N7" s="79">
        <f>SUM(B7:M7)</f>
        <v>189307.55000000002</v>
      </c>
    </row>
    <row r="8" spans="1:14" ht="15.75" x14ac:dyDescent="0.25">
      <c r="A8" s="45" t="s">
        <v>123</v>
      </c>
      <c r="B8" s="46">
        <v>1</v>
      </c>
      <c r="C8" s="46">
        <v>1.07</v>
      </c>
      <c r="D8" s="46">
        <v>0.36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79">
        <f t="shared" si="0"/>
        <v>2.4300000000000002</v>
      </c>
    </row>
    <row r="9" spans="1:14" ht="15.75" x14ac:dyDescent="0.25">
      <c r="A9" s="45" t="s">
        <v>124</v>
      </c>
      <c r="B9" s="46">
        <v>50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  <c r="H9" s="46">
        <v>25</v>
      </c>
      <c r="I9" s="46">
        <v>50</v>
      </c>
      <c r="J9" s="46">
        <v>0</v>
      </c>
      <c r="K9" s="46">
        <v>0</v>
      </c>
      <c r="L9" s="46">
        <v>0</v>
      </c>
      <c r="M9" s="46">
        <v>0</v>
      </c>
      <c r="N9" s="79">
        <f t="shared" si="0"/>
        <v>125</v>
      </c>
    </row>
    <row r="10" spans="1:14" ht="15.75" x14ac:dyDescent="0.25">
      <c r="A10" s="43" t="s">
        <v>125</v>
      </c>
      <c r="B10" s="47">
        <v>16083.72</v>
      </c>
      <c r="C10" s="47">
        <v>15220.89</v>
      </c>
      <c r="D10" s="47">
        <v>735593.31</v>
      </c>
      <c r="E10" s="47">
        <v>15919.44</v>
      </c>
      <c r="F10" s="47">
        <v>15919.44</v>
      </c>
      <c r="G10" s="47">
        <v>15919.44</v>
      </c>
      <c r="H10" s="47">
        <v>15944.44</v>
      </c>
      <c r="I10" s="47">
        <v>15969.44</v>
      </c>
      <c r="J10" s="47">
        <v>15919.44</v>
      </c>
      <c r="K10" s="47">
        <v>15919.44</v>
      </c>
      <c r="L10" s="47">
        <v>17872.419999999998</v>
      </c>
      <c r="M10" s="47">
        <v>17872.419999999998</v>
      </c>
      <c r="N10" s="47">
        <v>914153.84</v>
      </c>
    </row>
    <row r="11" spans="1:14" ht="15.75" x14ac:dyDescent="0.25">
      <c r="A11" s="43" t="s">
        <v>126</v>
      </c>
      <c r="B11" s="47">
        <v>16083.72</v>
      </c>
      <c r="C11" s="47">
        <v>15220.89</v>
      </c>
      <c r="D11" s="47">
        <v>735593.31</v>
      </c>
      <c r="E11" s="47">
        <v>15919.44</v>
      </c>
      <c r="F11" s="47">
        <v>15919.44</v>
      </c>
      <c r="G11" s="47">
        <v>15919.44</v>
      </c>
      <c r="H11" s="47">
        <v>15944.44</v>
      </c>
      <c r="I11" s="47">
        <v>15969.44</v>
      </c>
      <c r="J11" s="47">
        <v>15919.44</v>
      </c>
      <c r="K11" s="47">
        <v>15919.44</v>
      </c>
      <c r="L11" s="47">
        <v>17872.419999999998</v>
      </c>
      <c r="M11" s="47">
        <v>17872.419999999998</v>
      </c>
      <c r="N11" s="47">
        <v>914153.84</v>
      </c>
    </row>
    <row r="12" spans="1:14" ht="15.75" x14ac:dyDescent="0.25">
      <c r="A12" s="43" t="s">
        <v>127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</row>
    <row r="13" spans="1:14" ht="15.75" x14ac:dyDescent="0.25">
      <c r="A13" s="43" t="s">
        <v>128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</row>
    <row r="14" spans="1:14" ht="15.75" x14ac:dyDescent="0.25">
      <c r="A14" s="43" t="s">
        <v>129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4" ht="15.75" x14ac:dyDescent="0.25">
      <c r="A15" s="45" t="s">
        <v>130</v>
      </c>
      <c r="B15" s="46">
        <v>940.04</v>
      </c>
      <c r="C15" s="46">
        <v>934.99</v>
      </c>
      <c r="D15" s="46">
        <v>1355.62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79">
        <v>3230.65</v>
      </c>
    </row>
    <row r="16" spans="1:14" ht="15.75" x14ac:dyDescent="0.25">
      <c r="A16" s="45" t="s">
        <v>131</v>
      </c>
      <c r="B16" s="46">
        <v>199.91</v>
      </c>
      <c r="C16" s="46">
        <v>296.86</v>
      </c>
      <c r="D16" s="46">
        <v>940.57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79">
        <v>1437.34</v>
      </c>
    </row>
    <row r="17" spans="1:14" ht="15.75" x14ac:dyDescent="0.25">
      <c r="A17" s="45" t="s">
        <v>132</v>
      </c>
      <c r="B17" s="46">
        <v>0</v>
      </c>
      <c r="C17" s="46">
        <v>0</v>
      </c>
      <c r="D17" s="46">
        <v>41140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79">
        <v>41140</v>
      </c>
    </row>
    <row r="18" spans="1:14" ht="15.75" x14ac:dyDescent="0.25">
      <c r="A18" s="43" t="s">
        <v>133</v>
      </c>
      <c r="B18" s="47">
        <v>1139.95</v>
      </c>
      <c r="C18" s="47">
        <v>1231.8499999999999</v>
      </c>
      <c r="D18" s="47">
        <v>43436.19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45807.99</v>
      </c>
    </row>
    <row r="19" spans="1:14" ht="15.75" x14ac:dyDescent="0.25">
      <c r="A19" s="43" t="s">
        <v>134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</row>
    <row r="20" spans="1:14" ht="15.75" x14ac:dyDescent="0.25">
      <c r="A20" s="45" t="s">
        <v>135</v>
      </c>
      <c r="B20" s="46">
        <v>0</v>
      </c>
      <c r="C20" s="46">
        <v>0</v>
      </c>
      <c r="D20" s="46">
        <v>0</v>
      </c>
      <c r="E20" s="46">
        <v>0</v>
      </c>
      <c r="F20" s="46">
        <v>0</v>
      </c>
      <c r="G20" s="46">
        <v>1540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78">
        <v>0</v>
      </c>
      <c r="N20" s="79">
        <f t="shared" ref="N20:N22" si="1">SUM(B20:M20)</f>
        <v>1540</v>
      </c>
    </row>
    <row r="21" spans="1:14" ht="15.75" x14ac:dyDescent="0.25">
      <c r="A21" s="45" t="s">
        <v>136</v>
      </c>
      <c r="B21" s="46">
        <v>0</v>
      </c>
      <c r="C21" s="46">
        <v>0</v>
      </c>
      <c r="D21" s="46">
        <v>0</v>
      </c>
      <c r="E21" s="46">
        <v>0</v>
      </c>
      <c r="F21" s="82">
        <v>1400</v>
      </c>
      <c r="G21" s="46">
        <v>0</v>
      </c>
      <c r="H21" s="46">
        <v>2012.5</v>
      </c>
      <c r="I21" s="46">
        <v>0</v>
      </c>
      <c r="J21" s="46">
        <v>0</v>
      </c>
      <c r="K21" s="46">
        <v>500</v>
      </c>
      <c r="L21" s="46">
        <v>175</v>
      </c>
      <c r="M21" s="78">
        <v>0</v>
      </c>
      <c r="N21" s="79">
        <f t="shared" si="1"/>
        <v>4087.5</v>
      </c>
    </row>
    <row r="22" spans="1:14" ht="15.75" x14ac:dyDescent="0.25">
      <c r="A22" s="45" t="s">
        <v>137</v>
      </c>
      <c r="B22" s="46">
        <v>1997.82</v>
      </c>
      <c r="C22" s="46">
        <v>378.14</v>
      </c>
      <c r="D22" s="46">
        <v>201.45</v>
      </c>
      <c r="E22" s="46">
        <v>0</v>
      </c>
      <c r="F22" s="46">
        <v>1300</v>
      </c>
      <c r="G22" s="46">
        <v>124.24</v>
      </c>
      <c r="H22" s="46">
        <v>52.9</v>
      </c>
      <c r="I22" s="46">
        <v>2898.99</v>
      </c>
      <c r="J22" s="46">
        <v>107.6</v>
      </c>
      <c r="K22" s="46">
        <v>0</v>
      </c>
      <c r="L22" s="46">
        <v>21.54</v>
      </c>
      <c r="M22" s="78">
        <v>0</v>
      </c>
      <c r="N22" s="79">
        <f t="shared" si="1"/>
        <v>7082.6799999999994</v>
      </c>
    </row>
    <row r="23" spans="1:14" ht="15.75" x14ac:dyDescent="0.25">
      <c r="A23" s="43" t="s">
        <v>138</v>
      </c>
      <c r="B23" s="47">
        <v>1997.82</v>
      </c>
      <c r="C23" s="47">
        <v>378.14</v>
      </c>
      <c r="D23" s="47">
        <v>201.45</v>
      </c>
      <c r="E23" s="47">
        <v>0</v>
      </c>
      <c r="F23" s="47">
        <v>2700</v>
      </c>
      <c r="G23" s="47">
        <v>1664.24</v>
      </c>
      <c r="H23" s="47">
        <v>2065.4</v>
      </c>
      <c r="I23" s="47">
        <v>2898.99</v>
      </c>
      <c r="J23" s="47">
        <v>107.6</v>
      </c>
      <c r="K23" s="47">
        <v>500</v>
      </c>
      <c r="L23" s="47">
        <v>196.54</v>
      </c>
      <c r="M23" s="47">
        <v>0</v>
      </c>
      <c r="N23" s="47">
        <v>12710.18</v>
      </c>
    </row>
    <row r="24" spans="1:14" ht="15.75" x14ac:dyDescent="0.25">
      <c r="A24" s="43" t="s">
        <v>139</v>
      </c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</row>
    <row r="25" spans="1:14" ht="15.75" x14ac:dyDescent="0.25">
      <c r="A25" s="45" t="s">
        <v>140</v>
      </c>
      <c r="B25" s="46">
        <v>0</v>
      </c>
      <c r="C25" s="46">
        <v>0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59.95</v>
      </c>
      <c r="J25" s="46">
        <v>59.95</v>
      </c>
      <c r="K25" s="46">
        <v>59.95</v>
      </c>
      <c r="L25" s="78">
        <v>59.95</v>
      </c>
      <c r="M25" s="78">
        <v>59.95</v>
      </c>
      <c r="N25" s="79">
        <f>SUM(B25:M25)</f>
        <v>299.75</v>
      </c>
    </row>
    <row r="26" spans="1:14" ht="15.75" x14ac:dyDescent="0.25">
      <c r="A26" s="43" t="s">
        <v>141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59.95</v>
      </c>
      <c r="J26" s="47">
        <v>59.95</v>
      </c>
      <c r="K26" s="47">
        <v>59.95</v>
      </c>
      <c r="L26" s="47">
        <v>0</v>
      </c>
      <c r="M26" s="47">
        <v>0</v>
      </c>
      <c r="N26" s="47">
        <v>179.85</v>
      </c>
    </row>
    <row r="27" spans="1:14" ht="15.75" x14ac:dyDescent="0.25">
      <c r="A27" s="43" t="s">
        <v>142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</row>
    <row r="28" spans="1:14" ht="15.75" x14ac:dyDescent="0.25">
      <c r="A28" s="45" t="s">
        <v>143</v>
      </c>
      <c r="B28" s="46">
        <v>400</v>
      </c>
      <c r="C28" s="46">
        <v>250</v>
      </c>
      <c r="D28" s="46">
        <v>0</v>
      </c>
      <c r="E28" s="46">
        <v>450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412.5</v>
      </c>
      <c r="M28" s="78">
        <v>357.5</v>
      </c>
      <c r="N28" s="79">
        <f>SUM(B28:M28)</f>
        <v>1870</v>
      </c>
    </row>
    <row r="29" spans="1:14" ht="15.75" x14ac:dyDescent="0.25">
      <c r="A29" s="43" t="s">
        <v>144</v>
      </c>
      <c r="B29" s="47">
        <v>400</v>
      </c>
      <c r="C29" s="47">
        <v>250</v>
      </c>
      <c r="D29" s="47">
        <v>0</v>
      </c>
      <c r="E29" s="47">
        <v>450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412.5</v>
      </c>
      <c r="M29" s="47">
        <v>0</v>
      </c>
      <c r="N29" s="47">
        <v>1512.5</v>
      </c>
    </row>
    <row r="30" spans="1:14" ht="15.75" x14ac:dyDescent="0.25">
      <c r="A30" s="43" t="s">
        <v>145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</row>
    <row r="31" spans="1:14" ht="15.75" x14ac:dyDescent="0.25">
      <c r="A31" s="45" t="s">
        <v>146</v>
      </c>
      <c r="B31" s="46">
        <v>0</v>
      </c>
      <c r="C31" s="46">
        <v>0</v>
      </c>
      <c r="D31" s="46">
        <v>0</v>
      </c>
      <c r="E31" s="46">
        <v>0</v>
      </c>
      <c r="F31" s="46">
        <v>1022.5</v>
      </c>
      <c r="G31" s="46">
        <v>1022.5</v>
      </c>
      <c r="H31" s="46">
        <v>1250</v>
      </c>
      <c r="I31" s="46">
        <v>322.5</v>
      </c>
      <c r="J31" s="46">
        <v>1400</v>
      </c>
      <c r="K31" s="46">
        <v>700</v>
      </c>
      <c r="L31" s="46">
        <v>322.5</v>
      </c>
      <c r="M31" s="78">
        <v>1400</v>
      </c>
      <c r="N31" s="79">
        <f t="shared" ref="N31:N34" si="2">SUM(B31:M31)</f>
        <v>7440</v>
      </c>
    </row>
    <row r="32" spans="1:14" ht="15.75" x14ac:dyDescent="0.25">
      <c r="A32" s="45" t="s">
        <v>147</v>
      </c>
      <c r="B32" s="46">
        <v>0</v>
      </c>
      <c r="C32" s="46">
        <v>0</v>
      </c>
      <c r="D32" s="46">
        <v>0</v>
      </c>
      <c r="E32" s="46">
        <v>0</v>
      </c>
      <c r="F32" s="46">
        <v>1000</v>
      </c>
      <c r="G32" s="46">
        <v>1000</v>
      </c>
      <c r="H32" s="46">
        <v>2140</v>
      </c>
      <c r="I32" s="46">
        <v>1240</v>
      </c>
      <c r="J32" s="46">
        <v>1000</v>
      </c>
      <c r="K32" s="46">
        <v>1000</v>
      </c>
      <c r="L32" s="46">
        <v>0</v>
      </c>
      <c r="M32" s="78">
        <v>0</v>
      </c>
      <c r="N32" s="79">
        <f t="shared" si="2"/>
        <v>7380</v>
      </c>
    </row>
    <row r="33" spans="1:14" ht="15.75" x14ac:dyDescent="0.25">
      <c r="A33" s="45" t="s">
        <v>148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325</v>
      </c>
      <c r="L33" s="46">
        <v>0</v>
      </c>
      <c r="M33" s="78">
        <v>0</v>
      </c>
      <c r="N33" s="79">
        <f t="shared" si="2"/>
        <v>325</v>
      </c>
    </row>
    <row r="34" spans="1:14" ht="15.75" x14ac:dyDescent="0.25">
      <c r="A34" s="45" t="s">
        <v>149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2552.5</v>
      </c>
      <c r="I34" s="46">
        <v>0</v>
      </c>
      <c r="J34" s="46">
        <v>0</v>
      </c>
      <c r="K34" s="46">
        <v>0</v>
      </c>
      <c r="L34" s="46">
        <v>447.2</v>
      </c>
      <c r="M34" s="78">
        <v>0</v>
      </c>
      <c r="N34" s="79">
        <f t="shared" si="2"/>
        <v>2999.7</v>
      </c>
    </row>
    <row r="35" spans="1:14" ht="15.75" x14ac:dyDescent="0.25">
      <c r="A35" s="43" t="s">
        <v>150</v>
      </c>
      <c r="B35" s="47">
        <v>0</v>
      </c>
      <c r="C35" s="47">
        <v>0</v>
      </c>
      <c r="D35" s="47">
        <v>0</v>
      </c>
      <c r="E35" s="47">
        <v>0</v>
      </c>
      <c r="F35" s="47">
        <v>2022.5</v>
      </c>
      <c r="G35" s="47">
        <v>2022.5</v>
      </c>
      <c r="H35" s="47">
        <v>5942.5</v>
      </c>
      <c r="I35" s="47">
        <v>1562.5</v>
      </c>
      <c r="J35" s="47">
        <v>2400</v>
      </c>
      <c r="K35" s="47">
        <v>2025</v>
      </c>
      <c r="L35" s="47">
        <v>322.5</v>
      </c>
      <c r="M35" s="47">
        <v>0</v>
      </c>
      <c r="N35" s="47">
        <v>16297.5</v>
      </c>
    </row>
    <row r="36" spans="1:14" ht="15.75" x14ac:dyDescent="0.25">
      <c r="A36" s="43" t="s">
        <v>151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</row>
    <row r="37" spans="1:14" ht="15.75" x14ac:dyDescent="0.25">
      <c r="A37" s="45" t="s">
        <v>152</v>
      </c>
      <c r="B37" s="46">
        <v>602.29</v>
      </c>
      <c r="C37" s="46">
        <v>256.16000000000003</v>
      </c>
      <c r="D37" s="46">
        <v>279.10000000000002</v>
      </c>
      <c r="E37" s="46">
        <v>251.34</v>
      </c>
      <c r="F37" s="46">
        <v>343.12</v>
      </c>
      <c r="G37" s="46">
        <v>561.42999999999995</v>
      </c>
      <c r="H37" s="46">
        <v>519.75</v>
      </c>
      <c r="I37" s="46">
        <v>564.79</v>
      </c>
      <c r="J37" s="46">
        <v>516.63</v>
      </c>
      <c r="K37" s="46">
        <v>525.33000000000004</v>
      </c>
      <c r="L37" s="46">
        <v>311.33999999999997</v>
      </c>
      <c r="M37" s="78">
        <v>219.82</v>
      </c>
      <c r="N37" s="79">
        <f t="shared" ref="N37:N43" si="3">SUM(B37:M37)</f>
        <v>4951.1000000000004</v>
      </c>
    </row>
    <row r="38" spans="1:14" ht="15.75" x14ac:dyDescent="0.25">
      <c r="A38" s="45" t="s">
        <v>153</v>
      </c>
      <c r="B38" s="46">
        <v>2049.0100000000002</v>
      </c>
      <c r="C38" s="46">
        <v>576.16999999999996</v>
      </c>
      <c r="D38" s="46">
        <v>579.85</v>
      </c>
      <c r="E38" s="46">
        <v>737.76</v>
      </c>
      <c r="F38" s="46">
        <v>1062.8399999999999</v>
      </c>
      <c r="G38" s="46">
        <v>1890.87</v>
      </c>
      <c r="H38" s="46">
        <v>2206.73</v>
      </c>
      <c r="I38" s="46">
        <v>2229.14</v>
      </c>
      <c r="J38" s="46">
        <v>1876.5</v>
      </c>
      <c r="K38" s="46">
        <v>1489.45</v>
      </c>
      <c r="L38" s="46">
        <v>1062.2</v>
      </c>
      <c r="M38" s="78">
        <v>822.03</v>
      </c>
      <c r="N38" s="79">
        <f t="shared" si="3"/>
        <v>16582.55</v>
      </c>
    </row>
    <row r="39" spans="1:14" ht="15.75" x14ac:dyDescent="0.25">
      <c r="A39" s="45" t="s">
        <v>154</v>
      </c>
      <c r="B39" s="46">
        <v>660</v>
      </c>
      <c r="C39" s="46">
        <v>660</v>
      </c>
      <c r="D39" s="46">
        <v>660</v>
      </c>
      <c r="E39" s="46">
        <v>660</v>
      </c>
      <c r="F39" s="46">
        <v>660</v>
      </c>
      <c r="G39" s="46">
        <v>660</v>
      </c>
      <c r="H39" s="46">
        <v>660</v>
      </c>
      <c r="I39" s="46">
        <v>660</v>
      </c>
      <c r="J39" s="46">
        <v>660</v>
      </c>
      <c r="K39" s="46">
        <v>660</v>
      </c>
      <c r="L39" s="46">
        <v>660</v>
      </c>
      <c r="M39" s="78">
        <v>660</v>
      </c>
      <c r="N39" s="79">
        <f t="shared" si="3"/>
        <v>7920</v>
      </c>
    </row>
    <row r="40" spans="1:14" ht="15.75" x14ac:dyDescent="0.25">
      <c r="A40" s="45" t="s">
        <v>155</v>
      </c>
      <c r="B40" s="46">
        <v>1173.26</v>
      </c>
      <c r="C40" s="46">
        <v>1173.26</v>
      </c>
      <c r="D40" s="46">
        <v>1173.26</v>
      </c>
      <c r="E40" s="46">
        <v>1173.26</v>
      </c>
      <c r="F40" s="46">
        <v>1173.26</v>
      </c>
      <c r="G40" s="46">
        <v>1173.26</v>
      </c>
      <c r="H40" s="46">
        <v>1173.26</v>
      </c>
      <c r="I40" s="46">
        <v>1173.26</v>
      </c>
      <c r="J40" s="46">
        <v>1173.26</v>
      </c>
      <c r="K40" s="46">
        <v>1173.26</v>
      </c>
      <c r="L40" s="46">
        <v>1173.26</v>
      </c>
      <c r="M40" s="78">
        <v>1173.26</v>
      </c>
      <c r="N40" s="79">
        <f t="shared" si="3"/>
        <v>14079.12</v>
      </c>
    </row>
    <row r="41" spans="1:14" ht="15.75" x14ac:dyDescent="0.25">
      <c r="A41" s="45" t="s">
        <v>156</v>
      </c>
      <c r="B41" s="46">
        <v>862.65</v>
      </c>
      <c r="C41" s="46">
        <v>484.47</v>
      </c>
      <c r="D41" s="46">
        <v>484.47</v>
      </c>
      <c r="E41" s="46">
        <v>484.45</v>
      </c>
      <c r="F41" s="46">
        <v>454.44</v>
      </c>
      <c r="G41" s="46">
        <v>563.44000000000005</v>
      </c>
      <c r="H41" s="46">
        <v>64.19</v>
      </c>
      <c r="I41" s="46">
        <v>-750</v>
      </c>
      <c r="J41" s="46">
        <v>116.77</v>
      </c>
      <c r="K41" s="46">
        <v>692.2</v>
      </c>
      <c r="L41" s="78">
        <v>1074</v>
      </c>
      <c r="M41" s="78">
        <v>1074</v>
      </c>
      <c r="N41" s="79">
        <f t="shared" si="3"/>
        <v>5605.08</v>
      </c>
    </row>
    <row r="42" spans="1:14" ht="15.75" x14ac:dyDescent="0.25">
      <c r="A42" s="45" t="s">
        <v>157</v>
      </c>
      <c r="B42" s="46">
        <v>804.38</v>
      </c>
      <c r="C42" s="46">
        <v>804.38</v>
      </c>
      <c r="D42" s="46">
        <v>804.38</v>
      </c>
      <c r="E42" s="46">
        <v>804.38</v>
      </c>
      <c r="F42" s="46">
        <v>804.38</v>
      </c>
      <c r="G42" s="46">
        <v>804.38</v>
      </c>
      <c r="H42" s="46">
        <v>992.13</v>
      </c>
      <c r="I42" s="46">
        <v>876.74</v>
      </c>
      <c r="J42" s="46">
        <v>886.44</v>
      </c>
      <c r="K42" s="46">
        <v>876.74</v>
      </c>
      <c r="L42" s="78">
        <v>876.74</v>
      </c>
      <c r="M42" s="78">
        <v>876.74</v>
      </c>
      <c r="N42" s="79">
        <f t="shared" si="3"/>
        <v>10211.81</v>
      </c>
    </row>
    <row r="43" spans="1:14" ht="15.75" x14ac:dyDescent="0.25">
      <c r="A43" s="45" t="s">
        <v>158</v>
      </c>
      <c r="B43" s="46">
        <v>935.2</v>
      </c>
      <c r="C43" s="46">
        <v>935.2</v>
      </c>
      <c r="D43" s="46">
        <v>935.2</v>
      </c>
      <c r="E43" s="46">
        <v>935.2</v>
      </c>
      <c r="F43" s="46">
        <v>935.2</v>
      </c>
      <c r="G43" s="46">
        <v>935.2</v>
      </c>
      <c r="H43" s="46">
        <v>968.6</v>
      </c>
      <c r="I43" s="46">
        <v>968.6</v>
      </c>
      <c r="J43" s="46">
        <v>968.6</v>
      </c>
      <c r="K43" s="46">
        <v>968.6</v>
      </c>
      <c r="L43" s="46">
        <v>968.6</v>
      </c>
      <c r="M43" s="46">
        <v>968.6</v>
      </c>
      <c r="N43" s="79">
        <f t="shared" si="3"/>
        <v>11422.800000000001</v>
      </c>
    </row>
    <row r="44" spans="1:14" ht="15.75" x14ac:dyDescent="0.25">
      <c r="A44" s="43" t="s">
        <v>159</v>
      </c>
      <c r="B44" s="47">
        <v>7086.79</v>
      </c>
      <c r="C44" s="47">
        <v>4889.6400000000003</v>
      </c>
      <c r="D44" s="47">
        <v>4916.26</v>
      </c>
      <c r="E44" s="47">
        <v>5046.3900000000003</v>
      </c>
      <c r="F44" s="47">
        <v>5433.24</v>
      </c>
      <c r="G44" s="47">
        <v>6588.58</v>
      </c>
      <c r="H44" s="47">
        <v>6584.66</v>
      </c>
      <c r="I44" s="47">
        <v>5722.53</v>
      </c>
      <c r="J44" s="47">
        <v>6198.2</v>
      </c>
      <c r="K44" s="47">
        <v>6385.58</v>
      </c>
      <c r="L44" s="47">
        <v>4175.3999999999996</v>
      </c>
      <c r="M44" s="47">
        <v>968.6</v>
      </c>
      <c r="N44" s="47">
        <f>SUM(N37:N43)</f>
        <v>70772.460000000006</v>
      </c>
    </row>
    <row r="45" spans="1:14" ht="15.75" x14ac:dyDescent="0.25">
      <c r="A45" s="43" t="s">
        <v>160</v>
      </c>
      <c r="B45" s="47">
        <v>10624.56</v>
      </c>
      <c r="C45" s="47">
        <v>6749.63</v>
      </c>
      <c r="D45" s="47">
        <v>48553.9</v>
      </c>
      <c r="E45" s="47">
        <v>5496.39</v>
      </c>
      <c r="F45" s="47">
        <v>10155.74</v>
      </c>
      <c r="G45" s="47">
        <v>10275.32</v>
      </c>
      <c r="H45" s="47">
        <v>14592.56</v>
      </c>
      <c r="I45" s="47">
        <v>10243.969999999999</v>
      </c>
      <c r="J45" s="47">
        <v>8765.75</v>
      </c>
      <c r="K45" s="47">
        <v>8970.5300000000007</v>
      </c>
      <c r="L45" s="47">
        <v>5106.9399999999996</v>
      </c>
      <c r="M45" s="47">
        <v>968.6</v>
      </c>
      <c r="N45" s="47">
        <v>140503.89000000001</v>
      </c>
    </row>
    <row r="46" spans="1:14" ht="15.75" x14ac:dyDescent="0.25">
      <c r="A46" s="43" t="s">
        <v>161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</row>
    <row r="47" spans="1:14" ht="15.75" x14ac:dyDescent="0.25">
      <c r="A47" s="43" t="s">
        <v>162</v>
      </c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</row>
    <row r="48" spans="1:14" ht="15.75" x14ac:dyDescent="0.25">
      <c r="A48" s="45" t="s">
        <v>163</v>
      </c>
      <c r="B48" s="46">
        <v>87.13</v>
      </c>
      <c r="C48" s="46">
        <v>87.13</v>
      </c>
      <c r="D48" s="46">
        <v>92.25</v>
      </c>
      <c r="E48" s="46">
        <v>92.25</v>
      </c>
      <c r="F48" s="46">
        <v>2467.25</v>
      </c>
      <c r="G48" s="46">
        <v>92.25</v>
      </c>
      <c r="H48" s="46">
        <v>92.25</v>
      </c>
      <c r="I48" s="46">
        <v>0</v>
      </c>
      <c r="J48" s="46">
        <v>92.25</v>
      </c>
      <c r="K48" s="46">
        <v>92.25</v>
      </c>
      <c r="L48" s="46">
        <v>0</v>
      </c>
      <c r="M48" s="46">
        <v>0</v>
      </c>
      <c r="N48" s="79">
        <f t="shared" ref="N48:N50" si="4">SUM(B48:M48)</f>
        <v>3195.01</v>
      </c>
    </row>
    <row r="49" spans="1:14" ht="15.75" x14ac:dyDescent="0.25">
      <c r="A49" s="45" t="s">
        <v>164</v>
      </c>
      <c r="B49" s="46">
        <v>0</v>
      </c>
      <c r="C49" s="46">
        <v>0</v>
      </c>
      <c r="D49" s="46">
        <v>0</v>
      </c>
      <c r="E49" s="46">
        <v>39789</v>
      </c>
      <c r="F49" s="46">
        <v>0</v>
      </c>
      <c r="G49" s="46">
        <v>39788</v>
      </c>
      <c r="H49" s="46">
        <v>0</v>
      </c>
      <c r="I49" s="46">
        <v>-0.03</v>
      </c>
      <c r="J49" s="46">
        <v>39788</v>
      </c>
      <c r="K49" s="46">
        <v>0</v>
      </c>
      <c r="L49" s="46">
        <v>0</v>
      </c>
      <c r="M49" s="46">
        <v>39788</v>
      </c>
      <c r="N49" s="79">
        <f t="shared" si="4"/>
        <v>159152.97</v>
      </c>
    </row>
    <row r="50" spans="1:14" ht="15.75" x14ac:dyDescent="0.25">
      <c r="A50" s="45" t="s">
        <v>165</v>
      </c>
      <c r="B50" s="46">
        <v>15</v>
      </c>
      <c r="C50" s="46">
        <v>14.61</v>
      </c>
      <c r="D50" s="46">
        <v>313.36</v>
      </c>
      <c r="E50" s="46">
        <v>0</v>
      </c>
      <c r="F50" s="46">
        <v>0</v>
      </c>
      <c r="G50" s="46">
        <v>0</v>
      </c>
      <c r="H50" s="46">
        <v>0</v>
      </c>
      <c r="I50" s="46">
        <v>50</v>
      </c>
      <c r="J50" s="46">
        <v>0</v>
      </c>
      <c r="K50" s="46">
        <v>0</v>
      </c>
      <c r="L50" s="46">
        <v>0</v>
      </c>
      <c r="M50" s="46">
        <v>0</v>
      </c>
      <c r="N50" s="79">
        <f t="shared" si="4"/>
        <v>392.97</v>
      </c>
    </row>
    <row r="51" spans="1:14" ht="15.75" x14ac:dyDescent="0.25">
      <c r="A51" s="43" t="s">
        <v>166</v>
      </c>
      <c r="B51" s="47">
        <v>102.13</v>
      </c>
      <c r="C51" s="47">
        <v>101.74</v>
      </c>
      <c r="D51" s="47">
        <v>405.61</v>
      </c>
      <c r="E51" s="47">
        <v>39881.25</v>
      </c>
      <c r="F51" s="47">
        <v>2467.25</v>
      </c>
      <c r="G51" s="47">
        <v>39880.25</v>
      </c>
      <c r="H51" s="47">
        <v>92.25</v>
      </c>
      <c r="I51" s="47">
        <v>49.97</v>
      </c>
      <c r="J51" s="47">
        <v>39880.25</v>
      </c>
      <c r="K51" s="47">
        <v>92.25</v>
      </c>
      <c r="L51" s="47">
        <v>0</v>
      </c>
      <c r="M51" s="47">
        <v>39788</v>
      </c>
      <c r="N51" s="47">
        <v>162740.95000000001</v>
      </c>
    </row>
    <row r="52" spans="1:14" ht="15.75" x14ac:dyDescent="0.25">
      <c r="A52" s="43" t="s">
        <v>167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</row>
    <row r="53" spans="1:14" ht="15.75" x14ac:dyDescent="0.25">
      <c r="A53" s="45" t="s">
        <v>168</v>
      </c>
      <c r="B53" s="46">
        <v>2011.75</v>
      </c>
      <c r="C53" s="46">
        <v>2011.75</v>
      </c>
      <c r="D53" s="46">
        <v>2589.0700000000002</v>
      </c>
      <c r="E53" s="46">
        <v>2589.0700000000002</v>
      </c>
      <c r="F53" s="46">
        <v>2589.0700000000002</v>
      </c>
      <c r="G53" s="46">
        <v>2589.0700000000002</v>
      </c>
      <c r="H53" s="46">
        <v>2589.0700000000002</v>
      </c>
      <c r="I53" s="46">
        <v>2589.0700000000002</v>
      </c>
      <c r="J53" s="46">
        <v>2589.0700000000002</v>
      </c>
      <c r="K53" s="46">
        <v>2589.0700000000002</v>
      </c>
      <c r="L53" s="78">
        <v>2589.0700000000002</v>
      </c>
      <c r="M53" s="78">
        <v>2589.0700000000002</v>
      </c>
      <c r="N53" s="79">
        <f t="shared" ref="N53:N54" si="5">SUM(B53:M53)</f>
        <v>29914.199999999997</v>
      </c>
    </row>
    <row r="54" spans="1:14" ht="15.75" x14ac:dyDescent="0.25">
      <c r="A54" s="45" t="s">
        <v>169</v>
      </c>
      <c r="B54" s="46">
        <v>0</v>
      </c>
      <c r="C54" s="46">
        <v>0</v>
      </c>
      <c r="D54" s="46">
        <v>20</v>
      </c>
      <c r="E54" s="46">
        <v>20</v>
      </c>
      <c r="F54" s="46">
        <v>20</v>
      </c>
      <c r="G54" s="46">
        <v>20</v>
      </c>
      <c r="H54" s="46">
        <v>20</v>
      </c>
      <c r="I54" s="46">
        <v>20</v>
      </c>
      <c r="J54" s="46">
        <v>20</v>
      </c>
      <c r="K54" s="46">
        <v>20</v>
      </c>
      <c r="L54" s="78">
        <v>20</v>
      </c>
      <c r="M54" s="78">
        <v>20</v>
      </c>
      <c r="N54" s="79">
        <f t="shared" si="5"/>
        <v>200</v>
      </c>
    </row>
    <row r="55" spans="1:14" ht="15.75" x14ac:dyDescent="0.25">
      <c r="A55" s="43" t="s">
        <v>170</v>
      </c>
      <c r="B55" s="47">
        <v>2011.75</v>
      </c>
      <c r="C55" s="47">
        <v>2011.75</v>
      </c>
      <c r="D55" s="47">
        <v>2609.0700000000002</v>
      </c>
      <c r="E55" s="47">
        <v>2609.0700000000002</v>
      </c>
      <c r="F55" s="47">
        <v>2609.0700000000002</v>
      </c>
      <c r="G55" s="47">
        <v>2609.0700000000002</v>
      </c>
      <c r="H55" s="47">
        <v>2609.0700000000002</v>
      </c>
      <c r="I55" s="47">
        <v>2609.0700000000002</v>
      </c>
      <c r="J55" s="47">
        <v>2609.0700000000002</v>
      </c>
      <c r="K55" s="47">
        <v>2609.0700000000002</v>
      </c>
      <c r="L55" s="47">
        <v>0</v>
      </c>
      <c r="M55" s="47">
        <v>0</v>
      </c>
      <c r="N55" s="47">
        <v>24896.06</v>
      </c>
    </row>
    <row r="56" spans="1:14" ht="15.75" x14ac:dyDescent="0.25">
      <c r="A56" s="43" t="s">
        <v>171</v>
      </c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</row>
    <row r="57" spans="1:14" ht="15.75" x14ac:dyDescent="0.25">
      <c r="A57" s="45" t="s">
        <v>172</v>
      </c>
      <c r="B57" s="46">
        <v>3647.92</v>
      </c>
      <c r="C57" s="46">
        <v>3647.92</v>
      </c>
      <c r="D57" s="46">
        <v>3647.92</v>
      </c>
      <c r="E57" s="46">
        <v>3647.92</v>
      </c>
      <c r="F57" s="46">
        <v>3647.92</v>
      </c>
      <c r="G57" s="46">
        <v>3647.92</v>
      </c>
      <c r="H57" s="46">
        <v>3647.92</v>
      </c>
      <c r="I57" s="46">
        <v>3647.92</v>
      </c>
      <c r="J57" s="46">
        <v>3647.92</v>
      </c>
      <c r="K57" s="46">
        <v>3647.92</v>
      </c>
      <c r="L57" s="46">
        <v>3647.92</v>
      </c>
      <c r="M57" s="46">
        <v>3647.92</v>
      </c>
      <c r="N57" s="79">
        <f t="shared" ref="N57:N58" si="6">SUM(B57:M57)</f>
        <v>43775.039999999986</v>
      </c>
    </row>
    <row r="58" spans="1:14" ht="15.75" x14ac:dyDescent="0.25">
      <c r="A58" s="45" t="s">
        <v>173</v>
      </c>
      <c r="B58" s="46">
        <v>1398</v>
      </c>
      <c r="C58" s="46">
        <v>198</v>
      </c>
      <c r="D58" s="46">
        <v>355.5</v>
      </c>
      <c r="E58" s="46">
        <v>997.5</v>
      </c>
      <c r="F58" s="46">
        <v>3388.02</v>
      </c>
      <c r="G58" s="46">
        <v>0</v>
      </c>
      <c r="H58" s="46">
        <v>0</v>
      </c>
      <c r="I58" s="46">
        <v>0</v>
      </c>
      <c r="J58" s="46">
        <v>0</v>
      </c>
      <c r="K58" s="46">
        <v>-2206.52</v>
      </c>
      <c r="L58" s="46">
        <v>74</v>
      </c>
      <c r="M58" s="46">
        <v>0</v>
      </c>
      <c r="N58" s="79">
        <f t="shared" si="6"/>
        <v>4204.5</v>
      </c>
    </row>
    <row r="59" spans="1:14" ht="15.75" x14ac:dyDescent="0.25">
      <c r="A59" s="43" t="s">
        <v>174</v>
      </c>
      <c r="B59" s="47">
        <v>5045.92</v>
      </c>
      <c r="C59" s="47">
        <v>3845.92</v>
      </c>
      <c r="D59" s="47">
        <v>4003.42</v>
      </c>
      <c r="E59" s="47">
        <v>4645.42</v>
      </c>
      <c r="F59" s="47">
        <v>7035.94</v>
      </c>
      <c r="G59" s="47">
        <v>3647.92</v>
      </c>
      <c r="H59" s="47">
        <v>3647.92</v>
      </c>
      <c r="I59" s="47">
        <v>3647.92</v>
      </c>
      <c r="J59" s="47">
        <v>3647.92</v>
      </c>
      <c r="K59" s="47">
        <v>1441.4</v>
      </c>
      <c r="L59" s="47">
        <v>3721.92</v>
      </c>
      <c r="M59" s="47">
        <v>3647.92</v>
      </c>
      <c r="N59" s="47">
        <v>47979.54</v>
      </c>
    </row>
    <row r="60" spans="1:14" ht="15.75" x14ac:dyDescent="0.25">
      <c r="A60" s="43" t="s">
        <v>175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</row>
    <row r="61" spans="1:14" ht="15.75" x14ac:dyDescent="0.25">
      <c r="A61" s="45" t="s">
        <v>176</v>
      </c>
      <c r="B61" s="46">
        <v>0</v>
      </c>
      <c r="C61" s="46">
        <v>0</v>
      </c>
      <c r="D61" s="46">
        <v>50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342</v>
      </c>
      <c r="L61" s="78">
        <v>0</v>
      </c>
      <c r="M61" s="78">
        <v>0</v>
      </c>
      <c r="N61" s="79">
        <f t="shared" ref="N61:N64" si="7">SUM(B61:M61)</f>
        <v>392</v>
      </c>
    </row>
    <row r="62" spans="1:14" ht="15.75" x14ac:dyDescent="0.25">
      <c r="A62" s="45" t="s">
        <v>177</v>
      </c>
      <c r="B62" s="46">
        <v>0</v>
      </c>
      <c r="C62" s="46">
        <v>0</v>
      </c>
      <c r="D62" s="46">
        <v>57.5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78">
        <v>0</v>
      </c>
      <c r="M62" s="78">
        <v>0</v>
      </c>
      <c r="N62" s="79">
        <f t="shared" si="7"/>
        <v>57.5</v>
      </c>
    </row>
    <row r="63" spans="1:14" ht="15.75" x14ac:dyDescent="0.25">
      <c r="A63" s="45" t="s">
        <v>178</v>
      </c>
      <c r="B63" s="46">
        <v>-648</v>
      </c>
      <c r="C63" s="46">
        <v>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78">
        <v>0</v>
      </c>
      <c r="M63" s="78">
        <v>0</v>
      </c>
      <c r="N63" s="79">
        <f t="shared" si="7"/>
        <v>-648</v>
      </c>
    </row>
    <row r="64" spans="1:14" ht="15.75" x14ac:dyDescent="0.25">
      <c r="A64" s="45" t="s">
        <v>179</v>
      </c>
      <c r="B64" s="46">
        <v>11.5</v>
      </c>
      <c r="C64" s="46">
        <v>0</v>
      </c>
      <c r="D64" s="46">
        <v>49.45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78">
        <v>0</v>
      </c>
      <c r="M64" s="78">
        <v>0</v>
      </c>
      <c r="N64" s="79">
        <f t="shared" si="7"/>
        <v>60.95</v>
      </c>
    </row>
    <row r="65" spans="1:14" ht="15.75" x14ac:dyDescent="0.25">
      <c r="A65" s="43" t="s">
        <v>180</v>
      </c>
      <c r="B65" s="47">
        <v>-636.5</v>
      </c>
      <c r="C65" s="47">
        <v>0</v>
      </c>
      <c r="D65" s="47">
        <v>156.94999999999999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342</v>
      </c>
      <c r="L65" s="47">
        <v>0</v>
      </c>
      <c r="M65" s="47">
        <v>0</v>
      </c>
      <c r="N65" s="47">
        <v>-137.55000000000001</v>
      </c>
    </row>
    <row r="66" spans="1:14" ht="15.75" x14ac:dyDescent="0.25">
      <c r="A66" s="45" t="s">
        <v>181</v>
      </c>
      <c r="B66" s="46">
        <v>0</v>
      </c>
      <c r="C66" s="46">
        <v>0</v>
      </c>
      <c r="D66" s="46">
        <v>0</v>
      </c>
      <c r="E66" s="46">
        <v>25</v>
      </c>
      <c r="F66" s="46">
        <v>0</v>
      </c>
      <c r="G66" s="46">
        <v>0</v>
      </c>
      <c r="H66" s="46">
        <v>336.68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79">
        <f t="shared" ref="N66:N67" si="8">SUM(B66:M66)</f>
        <v>361.68</v>
      </c>
    </row>
    <row r="67" spans="1:14" ht="15.75" x14ac:dyDescent="0.25">
      <c r="A67" s="45" t="s">
        <v>182</v>
      </c>
      <c r="B67" s="46">
        <v>-816.67</v>
      </c>
      <c r="C67" s="46">
        <v>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79">
        <f t="shared" si="8"/>
        <v>-816.67</v>
      </c>
    </row>
    <row r="68" spans="1:14" ht="15.75" x14ac:dyDescent="0.25">
      <c r="A68" s="43" t="s">
        <v>183</v>
      </c>
      <c r="B68" s="47">
        <v>5706.63</v>
      </c>
      <c r="C68" s="47">
        <v>5959.41</v>
      </c>
      <c r="D68" s="47">
        <v>7175.05</v>
      </c>
      <c r="E68" s="47">
        <v>47160.74</v>
      </c>
      <c r="F68" s="47">
        <v>12112.26</v>
      </c>
      <c r="G68" s="47">
        <v>46137.24</v>
      </c>
      <c r="H68" s="47">
        <v>6685.92</v>
      </c>
      <c r="I68" s="47">
        <v>6306.96</v>
      </c>
      <c r="J68" s="47">
        <v>46137.24</v>
      </c>
      <c r="K68" s="47">
        <v>4484.72</v>
      </c>
      <c r="L68" s="47">
        <v>3721.92</v>
      </c>
      <c r="M68" s="47">
        <v>43435.92</v>
      </c>
      <c r="N68" s="47">
        <v>235024.01</v>
      </c>
    </row>
    <row r="69" spans="1:14" ht="15.75" x14ac:dyDescent="0.25">
      <c r="A69" s="43" t="s">
        <v>184</v>
      </c>
      <c r="B69" s="47">
        <v>16331.19</v>
      </c>
      <c r="C69" s="47">
        <v>12709.04</v>
      </c>
      <c r="D69" s="47">
        <v>55728.95</v>
      </c>
      <c r="E69" s="47">
        <v>52657.13</v>
      </c>
      <c r="F69" s="47">
        <v>22268</v>
      </c>
      <c r="G69" s="47">
        <v>56412.56</v>
      </c>
      <c r="H69" s="47">
        <v>21278.48</v>
      </c>
      <c r="I69" s="47">
        <v>16550.93</v>
      </c>
      <c r="J69" s="47">
        <v>54902.99</v>
      </c>
      <c r="K69" s="47">
        <v>13455.25</v>
      </c>
      <c r="L69" s="47">
        <v>8828.86</v>
      </c>
      <c r="M69" s="47">
        <v>44404.52</v>
      </c>
      <c r="N69" s="47">
        <v>375527.9</v>
      </c>
    </row>
    <row r="71" spans="1:14" ht="15.75" x14ac:dyDescent="0.25">
      <c r="A71" s="43" t="s">
        <v>318</v>
      </c>
      <c r="B71" s="44">
        <v>-247.47</v>
      </c>
      <c r="C71" s="44">
        <v>2511.85</v>
      </c>
      <c r="D71" s="44">
        <v>679864.36</v>
      </c>
      <c r="E71" s="44">
        <v>-36737.69</v>
      </c>
      <c r="F71" s="44">
        <v>-6348.56</v>
      </c>
      <c r="G71" s="44">
        <v>-40493.120000000003</v>
      </c>
      <c r="H71" s="44">
        <v>-5334.04</v>
      </c>
      <c r="I71" s="44">
        <v>-581.49</v>
      </c>
      <c r="J71" s="44">
        <v>-38983.550000000003</v>
      </c>
      <c r="K71" s="44">
        <v>2464.19</v>
      </c>
      <c r="L71" s="44">
        <v>5137.6000000000004</v>
      </c>
      <c r="M71" s="44">
        <v>-30438.06</v>
      </c>
      <c r="N71" s="44">
        <v>530814.02</v>
      </c>
    </row>
    <row r="72" spans="1:14" ht="15.75" x14ac:dyDescent="0.25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</row>
    <row r="73" spans="1:14" ht="15.75" x14ac:dyDescent="0.25">
      <c r="A73" s="43" t="s">
        <v>319</v>
      </c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</row>
    <row r="74" spans="1:14" ht="15.75" x14ac:dyDescent="0.25">
      <c r="A74" s="43" t="s">
        <v>293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</row>
    <row r="75" spans="1:14" ht="15.75" x14ac:dyDescent="0.25">
      <c r="A75" s="43" t="s">
        <v>320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</row>
    <row r="76" spans="1:14" ht="15.75" x14ac:dyDescent="0.25">
      <c r="A76" s="45" t="s">
        <v>321</v>
      </c>
      <c r="B76" s="46">
        <v>369500</v>
      </c>
      <c r="C76" s="46">
        <v>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369500</v>
      </c>
    </row>
    <row r="77" spans="1:14" ht="15.75" x14ac:dyDescent="0.25">
      <c r="A77" s="45" t="s">
        <v>322</v>
      </c>
      <c r="B77" s="46">
        <v>1952.98</v>
      </c>
      <c r="C77" s="46">
        <v>1952.98</v>
      </c>
      <c r="D77" s="46">
        <v>1952.98</v>
      </c>
      <c r="E77" s="46">
        <v>1952.98</v>
      </c>
      <c r="F77" s="46">
        <v>1952.98</v>
      </c>
      <c r="G77" s="46">
        <v>1952.98</v>
      </c>
      <c r="H77" s="46">
        <v>1952.98</v>
      </c>
      <c r="I77" s="46">
        <v>1952.98</v>
      </c>
      <c r="J77" s="46">
        <v>1952.98</v>
      </c>
      <c r="K77" s="46">
        <v>1952.98</v>
      </c>
      <c r="L77" s="46">
        <v>1952.98</v>
      </c>
      <c r="M77" s="46">
        <v>1952.98</v>
      </c>
      <c r="N77" s="46">
        <v>23435.759999999998</v>
      </c>
    </row>
    <row r="78" spans="1:14" ht="15.75" x14ac:dyDescent="0.25">
      <c r="A78" s="45" t="s">
        <v>323</v>
      </c>
      <c r="B78" s="46">
        <v>7.54</v>
      </c>
      <c r="C78" s="46">
        <v>8.06</v>
      </c>
      <c r="D78" s="46">
        <v>17.21</v>
      </c>
      <c r="E78" s="46">
        <v>76.41</v>
      </c>
      <c r="F78" s="46">
        <v>76.42</v>
      </c>
      <c r="G78" s="46">
        <v>78.989999999999995</v>
      </c>
      <c r="H78" s="46">
        <v>79</v>
      </c>
      <c r="I78" s="46">
        <v>73.930000000000007</v>
      </c>
      <c r="J78" s="46">
        <v>584.77</v>
      </c>
      <c r="K78" s="46">
        <v>876.71</v>
      </c>
      <c r="L78" s="46">
        <v>0</v>
      </c>
      <c r="M78" s="46">
        <v>0</v>
      </c>
      <c r="N78" s="46">
        <v>1879.04</v>
      </c>
    </row>
    <row r="79" spans="1:14" ht="15.75" x14ac:dyDescent="0.25">
      <c r="A79" s="43" t="s">
        <v>324</v>
      </c>
      <c r="B79" s="47">
        <v>371460.52</v>
      </c>
      <c r="C79" s="47">
        <v>1961.04</v>
      </c>
      <c r="D79" s="47">
        <v>1970.19</v>
      </c>
      <c r="E79" s="47">
        <v>2029.39</v>
      </c>
      <c r="F79" s="47">
        <v>2029.4</v>
      </c>
      <c r="G79" s="47">
        <v>2031.97</v>
      </c>
      <c r="H79" s="47">
        <v>2031.98</v>
      </c>
      <c r="I79" s="47">
        <v>2026.91</v>
      </c>
      <c r="J79" s="47">
        <v>2537.75</v>
      </c>
      <c r="K79" s="47">
        <v>2829.69</v>
      </c>
      <c r="L79" s="47">
        <v>3905.96</v>
      </c>
      <c r="M79" s="47">
        <v>3905.96</v>
      </c>
      <c r="N79" s="47">
        <v>398720.76</v>
      </c>
    </row>
    <row r="80" spans="1:14" ht="15.75" x14ac:dyDescent="0.25">
      <c r="A80" s="43" t="s">
        <v>297</v>
      </c>
      <c r="B80" s="47">
        <v>371460.52</v>
      </c>
      <c r="C80" s="47">
        <v>1961.04</v>
      </c>
      <c r="D80" s="47">
        <v>1970.19</v>
      </c>
      <c r="E80" s="47">
        <v>2029.39</v>
      </c>
      <c r="F80" s="47">
        <v>2029.4</v>
      </c>
      <c r="G80" s="47">
        <v>2031.97</v>
      </c>
      <c r="H80" s="47">
        <v>2031.98</v>
      </c>
      <c r="I80" s="47">
        <v>2026.91</v>
      </c>
      <c r="J80" s="47">
        <v>2537.75</v>
      </c>
      <c r="K80" s="47">
        <v>2829.69</v>
      </c>
      <c r="L80" s="47">
        <v>3905.96</v>
      </c>
      <c r="M80" s="47">
        <v>3905.96</v>
      </c>
      <c r="N80" s="47">
        <v>398720.76</v>
      </c>
    </row>
    <row r="81" spans="1:15" ht="15.75" x14ac:dyDescent="0.25">
      <c r="A81" s="43" t="s">
        <v>299</v>
      </c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</row>
    <row r="82" spans="1:15" ht="15.75" x14ac:dyDescent="0.25">
      <c r="A82" s="43" t="s">
        <v>325</v>
      </c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</row>
    <row r="83" spans="1:15" ht="15.75" x14ac:dyDescent="0.25">
      <c r="A83" s="45" t="s">
        <v>326</v>
      </c>
      <c r="B83" s="46">
        <v>144000</v>
      </c>
      <c r="C83" s="46">
        <v>1158</v>
      </c>
      <c r="D83" s="46">
        <v>8500</v>
      </c>
      <c r="E83" s="46">
        <v>0</v>
      </c>
      <c r="F83" s="46">
        <v>51093.75</v>
      </c>
      <c r="G83" s="46">
        <v>0</v>
      </c>
      <c r="H83" s="46">
        <v>7136.69</v>
      </c>
      <c r="I83" s="46">
        <v>0</v>
      </c>
      <c r="J83" s="46">
        <v>0</v>
      </c>
      <c r="K83" s="46">
        <v>0</v>
      </c>
      <c r="L83" s="46">
        <v>4054.85</v>
      </c>
      <c r="M83" s="46">
        <v>8512.11</v>
      </c>
      <c r="N83" s="46">
        <f>SUM(B83:M83)</f>
        <v>224455.40000000002</v>
      </c>
      <c r="O83" s="84"/>
    </row>
    <row r="84" spans="1:15" ht="15.75" x14ac:dyDescent="0.25">
      <c r="A84" s="43" t="s">
        <v>327</v>
      </c>
      <c r="B84" s="47">
        <v>144000</v>
      </c>
      <c r="C84" s="47">
        <v>1158</v>
      </c>
      <c r="D84" s="47">
        <v>8500</v>
      </c>
      <c r="E84" s="47">
        <v>0</v>
      </c>
      <c r="F84" s="47">
        <v>51093.75</v>
      </c>
      <c r="G84" s="47">
        <v>0</v>
      </c>
      <c r="H84" s="47">
        <v>7136.69</v>
      </c>
      <c r="I84" s="47">
        <v>0</v>
      </c>
      <c r="J84" s="47">
        <v>0</v>
      </c>
      <c r="K84" s="47">
        <v>0</v>
      </c>
      <c r="L84" s="47">
        <v>4054.85</v>
      </c>
      <c r="M84" s="47">
        <v>3512.11</v>
      </c>
      <c r="N84" s="47">
        <v>219455.4</v>
      </c>
    </row>
    <row r="85" spans="1:15" ht="15.75" x14ac:dyDescent="0.25">
      <c r="A85" s="43" t="s">
        <v>301</v>
      </c>
      <c r="B85" s="47">
        <v>144000</v>
      </c>
      <c r="C85" s="47">
        <v>1158</v>
      </c>
      <c r="D85" s="47">
        <v>8500</v>
      </c>
      <c r="E85" s="47">
        <v>0</v>
      </c>
      <c r="F85" s="47">
        <v>51093.75</v>
      </c>
      <c r="G85" s="47">
        <v>0</v>
      </c>
      <c r="H85" s="47">
        <v>7136.69</v>
      </c>
      <c r="I85" s="47">
        <v>0</v>
      </c>
      <c r="J85" s="47">
        <v>0</v>
      </c>
      <c r="K85" s="47">
        <v>0</v>
      </c>
      <c r="L85" s="47">
        <v>4054.85</v>
      </c>
      <c r="M85" s="47">
        <v>3512.11</v>
      </c>
      <c r="N85" s="47">
        <v>219455.4</v>
      </c>
    </row>
    <row r="86" spans="1:15" ht="15.75" x14ac:dyDescent="0.25">
      <c r="A86" s="45"/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</row>
    <row r="87" spans="1:15" ht="15.75" x14ac:dyDescent="0.25">
      <c r="A87" s="43" t="s">
        <v>328</v>
      </c>
      <c r="B87" s="47">
        <v>227460.52</v>
      </c>
      <c r="C87" s="47">
        <v>803.04</v>
      </c>
      <c r="D87" s="47">
        <v>-6529.81</v>
      </c>
      <c r="E87" s="47">
        <v>2029.39</v>
      </c>
      <c r="F87" s="47">
        <v>-49064.35</v>
      </c>
      <c r="G87" s="47">
        <v>2031.97</v>
      </c>
      <c r="H87" s="47">
        <v>-5104.71</v>
      </c>
      <c r="I87" s="47">
        <v>2026.91</v>
      </c>
      <c r="J87" s="47">
        <v>2537.75</v>
      </c>
      <c r="K87" s="47">
        <v>2829.69</v>
      </c>
      <c r="L87" s="47">
        <v>-148.88999999999999</v>
      </c>
      <c r="M87" s="47">
        <v>393.85</v>
      </c>
      <c r="N87" s="47">
        <v>179265.36</v>
      </c>
    </row>
    <row r="88" spans="1:15" ht="15.75" x14ac:dyDescent="0.25">
      <c r="A88" s="45"/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</row>
    <row r="89" spans="1:15" ht="15.75" x14ac:dyDescent="0.25">
      <c r="A89" s="45" t="s">
        <v>216</v>
      </c>
      <c r="B89" s="46">
        <v>387544.24</v>
      </c>
      <c r="C89" s="46">
        <v>17181.93</v>
      </c>
      <c r="D89" s="46">
        <v>737563.5</v>
      </c>
      <c r="E89" s="46">
        <v>17948.830000000002</v>
      </c>
      <c r="F89" s="46">
        <v>17948.84</v>
      </c>
      <c r="G89" s="46">
        <v>17951.41</v>
      </c>
      <c r="H89" s="46">
        <v>17976.419999999998</v>
      </c>
      <c r="I89" s="46">
        <v>17996.349999999999</v>
      </c>
      <c r="J89" s="46">
        <v>18457.189999999999</v>
      </c>
      <c r="K89" s="46">
        <v>18749.13</v>
      </c>
      <c r="L89" s="46">
        <v>17872.419999999998</v>
      </c>
      <c r="M89" s="46">
        <v>17872.419999999998</v>
      </c>
      <c r="N89" s="46">
        <v>1305062.68</v>
      </c>
    </row>
    <row r="90" spans="1:15" ht="15.75" x14ac:dyDescent="0.25">
      <c r="A90" s="45" t="s">
        <v>217</v>
      </c>
      <c r="B90" s="46">
        <v>160331.19</v>
      </c>
      <c r="C90" s="46">
        <v>13867.04</v>
      </c>
      <c r="D90" s="46">
        <v>64228.95</v>
      </c>
      <c r="E90" s="46">
        <v>52657.13</v>
      </c>
      <c r="F90" s="46">
        <v>73361.75</v>
      </c>
      <c r="G90" s="46">
        <v>56412.56</v>
      </c>
      <c r="H90" s="46">
        <v>28415.17</v>
      </c>
      <c r="I90" s="46">
        <v>16550.93</v>
      </c>
      <c r="J90" s="46">
        <v>54902.99</v>
      </c>
      <c r="K90" s="46">
        <v>13455.25</v>
      </c>
      <c r="L90" s="46">
        <v>12883.71</v>
      </c>
      <c r="M90" s="46">
        <v>47916.63</v>
      </c>
      <c r="N90" s="46">
        <v>594983.30000000005</v>
      </c>
    </row>
    <row r="91" spans="1:15" ht="16.5" thickBot="1" x14ac:dyDescent="0.3">
      <c r="A91" s="45"/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</row>
    <row r="92" spans="1:15" ht="15.75" x14ac:dyDescent="0.25">
      <c r="A92" s="43" t="s">
        <v>329</v>
      </c>
      <c r="B92" s="81">
        <v>227213.05</v>
      </c>
      <c r="C92" s="81">
        <v>3314.89</v>
      </c>
      <c r="D92" s="81">
        <v>673334.55</v>
      </c>
      <c r="E92" s="81">
        <v>-34708.300000000003</v>
      </c>
      <c r="F92" s="81">
        <v>-55412.91</v>
      </c>
      <c r="G92" s="81">
        <v>-38461.15</v>
      </c>
      <c r="H92" s="81">
        <v>-10438.75</v>
      </c>
      <c r="I92" s="81">
        <v>1445.42</v>
      </c>
      <c r="J92" s="81">
        <v>-36445.800000000003</v>
      </c>
      <c r="K92" s="81">
        <v>5293.88</v>
      </c>
      <c r="L92" s="81">
        <v>4988.71</v>
      </c>
      <c r="M92" s="81">
        <v>-30044.21</v>
      </c>
      <c r="N92" s="81">
        <v>710079.38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DD7CB4-517C-4913-ACBD-67B41CB93741}">
  <sheetPr>
    <pageSetUpPr fitToPage="1"/>
  </sheetPr>
  <dimension ref="A1:Q80"/>
  <sheetViews>
    <sheetView tabSelected="1" zoomScaleNormal="100" workbookViewId="0">
      <pane xSplit="1" ySplit="4" topLeftCell="E16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5" x14ac:dyDescent="0.25"/>
  <cols>
    <col min="1" max="1" width="46.28515625" bestFit="1" customWidth="1"/>
    <col min="2" max="2" width="14.7109375" customWidth="1"/>
    <col min="3" max="3" width="22.85546875" customWidth="1"/>
    <col min="4" max="4" width="22.140625" customWidth="1"/>
    <col min="5" max="5" width="19.28515625" customWidth="1"/>
    <col min="6" max="6" width="10.7109375" hidden="1" customWidth="1"/>
    <col min="8" max="8" width="6.7109375" customWidth="1"/>
    <col min="9" max="9" width="14.140625" customWidth="1"/>
  </cols>
  <sheetData>
    <row r="1" spans="1:6" ht="21" x14ac:dyDescent="0.35">
      <c r="A1" s="145" t="s">
        <v>317</v>
      </c>
      <c r="B1" s="146"/>
      <c r="C1" s="146"/>
      <c r="D1" s="146"/>
      <c r="E1" s="147"/>
      <c r="F1" s="120"/>
    </row>
    <row r="2" spans="1:6" ht="18" customHeight="1" x14ac:dyDescent="0.3">
      <c r="A2" s="148" t="s">
        <v>363</v>
      </c>
      <c r="B2" s="149"/>
      <c r="C2" s="149"/>
      <c r="D2" s="149"/>
      <c r="E2" s="150"/>
      <c r="F2" s="121"/>
    </row>
    <row r="3" spans="1:6" ht="14.45" customHeight="1" x14ac:dyDescent="0.25">
      <c r="A3" s="151"/>
      <c r="B3" s="152"/>
      <c r="C3" s="152"/>
      <c r="D3" s="152"/>
      <c r="E3" s="153"/>
      <c r="F3" s="122"/>
    </row>
    <row r="4" spans="1:6" ht="30" x14ac:dyDescent="0.25">
      <c r="A4" s="90" t="s">
        <v>103</v>
      </c>
      <c r="B4" s="48" t="s">
        <v>186</v>
      </c>
      <c r="C4" s="49" t="s">
        <v>357</v>
      </c>
      <c r="D4" s="49" t="s">
        <v>358</v>
      </c>
      <c r="E4" s="123" t="s">
        <v>364</v>
      </c>
      <c r="F4" s="91"/>
    </row>
    <row r="5" spans="1:6" x14ac:dyDescent="0.25">
      <c r="A5" s="92" t="s">
        <v>188</v>
      </c>
      <c r="B5" s="93"/>
      <c r="C5" s="94"/>
      <c r="D5" s="50"/>
      <c r="E5" s="124">
        <f>(E8-B8)/B8</f>
        <v>1.5819951237503152E-6</v>
      </c>
      <c r="F5" s="91"/>
    </row>
    <row r="6" spans="1:6" ht="15.75" x14ac:dyDescent="0.25">
      <c r="A6" s="95" t="s">
        <v>230</v>
      </c>
      <c r="B6" s="93">
        <v>720000</v>
      </c>
      <c r="C6" s="96">
        <f>+'2023-2024 Income Stmt Forecast'!N5</f>
        <v>720000</v>
      </c>
      <c r="D6" s="51">
        <f>+B6-C6</f>
        <v>0</v>
      </c>
      <c r="E6" s="125">
        <v>0</v>
      </c>
      <c r="F6" s="91"/>
    </row>
    <row r="7" spans="1:6" ht="15.75" x14ac:dyDescent="0.25">
      <c r="A7" s="95" t="s">
        <v>231</v>
      </c>
      <c r="B7" s="93">
        <f>+'2023-2024 Budg v Act'!G5</f>
        <v>0</v>
      </c>
      <c r="C7" s="96">
        <f>+'2023-2024 Income Stmt Forecast'!N6</f>
        <v>812.9</v>
      </c>
      <c r="D7" s="51">
        <f t="shared" ref="D7:D10" si="0">+B7-C7</f>
        <v>-812.9</v>
      </c>
      <c r="E7" s="125">
        <v>0</v>
      </c>
      <c r="F7" s="91"/>
    </row>
    <row r="8" spans="1:6" ht="15.75" x14ac:dyDescent="0.25">
      <c r="A8" s="95" t="s">
        <v>232</v>
      </c>
      <c r="B8" s="93">
        <f>+'2023-2024 Budg v Act'!G6</f>
        <v>189633.96</v>
      </c>
      <c r="C8" s="96">
        <f>+'2023-2024 Income Stmt Forecast'!N7</f>
        <v>189307.55000000002</v>
      </c>
      <c r="D8" s="51">
        <f t="shared" si="0"/>
        <v>326.40999999997439</v>
      </c>
      <c r="E8" s="125">
        <f>+E50</f>
        <v>189634.26</v>
      </c>
      <c r="F8" s="91"/>
    </row>
    <row r="9" spans="1:6" ht="15.75" x14ac:dyDescent="0.25">
      <c r="A9" s="95" t="s">
        <v>233</v>
      </c>
      <c r="B9" s="93">
        <f>+'2023-2024 Budg v Act'!G7</f>
        <v>0</v>
      </c>
      <c r="C9" s="96">
        <f>+'2023-2024 Income Stmt Forecast'!N8</f>
        <v>2.4300000000000002</v>
      </c>
      <c r="D9" s="51">
        <f t="shared" si="0"/>
        <v>-2.4300000000000002</v>
      </c>
      <c r="E9" s="125">
        <v>0</v>
      </c>
      <c r="F9" s="91"/>
    </row>
    <row r="10" spans="1:6" ht="15.75" x14ac:dyDescent="0.25">
      <c r="A10" s="95" t="s">
        <v>234</v>
      </c>
      <c r="B10" s="93">
        <f>+'2023-2024 Budg v Act'!G8</f>
        <v>0</v>
      </c>
      <c r="C10" s="96">
        <f>+'2023-2024 Income Stmt Forecast'!N9</f>
        <v>125</v>
      </c>
      <c r="D10" s="51">
        <f t="shared" si="0"/>
        <v>-125</v>
      </c>
      <c r="E10" s="125">
        <v>0</v>
      </c>
      <c r="F10" s="91"/>
    </row>
    <row r="11" spans="1:6" ht="15.75" x14ac:dyDescent="0.25">
      <c r="A11" s="97" t="s">
        <v>356</v>
      </c>
      <c r="B11" s="98">
        <v>0</v>
      </c>
      <c r="C11" s="96">
        <v>0</v>
      </c>
      <c r="D11" s="51">
        <v>0</v>
      </c>
      <c r="E11" s="125">
        <v>0</v>
      </c>
      <c r="F11" s="91"/>
    </row>
    <row r="12" spans="1:6" x14ac:dyDescent="0.25">
      <c r="A12" s="92" t="s">
        <v>189</v>
      </c>
      <c r="B12" s="52">
        <f>SUM(B6:B8)</f>
        <v>909633.96</v>
      </c>
      <c r="C12" s="53">
        <f>SUM(C6:C11)</f>
        <v>910247.88000000012</v>
      </c>
      <c r="D12" s="54">
        <f>SUM(D6:D8)</f>
        <v>-486.49000000002559</v>
      </c>
      <c r="E12" s="126">
        <f>SUM(E6:E11)</f>
        <v>189634.26</v>
      </c>
      <c r="F12" s="91"/>
    </row>
    <row r="13" spans="1:6" x14ac:dyDescent="0.25">
      <c r="A13" s="92"/>
      <c r="B13" s="93"/>
      <c r="C13" s="96"/>
      <c r="D13" s="51"/>
      <c r="E13" s="125"/>
      <c r="F13" s="91"/>
    </row>
    <row r="14" spans="1:6" x14ac:dyDescent="0.25">
      <c r="A14" s="99" t="s">
        <v>190</v>
      </c>
      <c r="B14" s="93"/>
      <c r="C14" s="96"/>
      <c r="D14" s="51"/>
      <c r="E14" s="125"/>
      <c r="F14" s="91"/>
    </row>
    <row r="15" spans="1:6" x14ac:dyDescent="0.25">
      <c r="A15" s="97" t="s">
        <v>308</v>
      </c>
      <c r="B15" s="93">
        <v>0</v>
      </c>
      <c r="C15" s="96">
        <f>+'2023-2024 Income Stmt Forecast'!N15</f>
        <v>3230.65</v>
      </c>
      <c r="D15" s="51">
        <f>+C15-B15</f>
        <v>3230.65</v>
      </c>
      <c r="E15" s="125">
        <v>0</v>
      </c>
      <c r="F15" s="91"/>
    </row>
    <row r="16" spans="1:6" x14ac:dyDescent="0.25">
      <c r="A16" s="97" t="s">
        <v>309</v>
      </c>
      <c r="B16" s="93">
        <v>0</v>
      </c>
      <c r="C16" s="96">
        <f>+'2023-2024 Income Stmt Forecast'!N16</f>
        <v>1437.34</v>
      </c>
      <c r="D16" s="51">
        <f t="shared" ref="D16:D48" si="1">+C16-B16</f>
        <v>1437.34</v>
      </c>
      <c r="E16" s="125">
        <v>0</v>
      </c>
      <c r="F16" s="91"/>
    </row>
    <row r="17" spans="1:8" x14ac:dyDescent="0.25">
      <c r="A17" s="97" t="s">
        <v>310</v>
      </c>
      <c r="B17" s="93">
        <v>0</v>
      </c>
      <c r="C17" s="96">
        <f>+'2023-2024 Income Stmt Forecast'!N17</f>
        <v>41140</v>
      </c>
      <c r="D17" s="51">
        <f t="shared" si="1"/>
        <v>41140</v>
      </c>
      <c r="E17" s="125">
        <v>0</v>
      </c>
      <c r="F17" s="91"/>
    </row>
    <row r="18" spans="1:8" x14ac:dyDescent="0.25">
      <c r="A18" s="97" t="s">
        <v>332</v>
      </c>
      <c r="B18" s="93">
        <v>341484.67</v>
      </c>
      <c r="C18" s="96">
        <v>341484.67</v>
      </c>
      <c r="D18" s="51">
        <f>+C18-B18</f>
        <v>0</v>
      </c>
      <c r="E18" s="125">
        <v>0</v>
      </c>
      <c r="F18" s="91"/>
    </row>
    <row r="19" spans="1:8" ht="15.75" x14ac:dyDescent="0.25">
      <c r="A19" s="97" t="s">
        <v>191</v>
      </c>
      <c r="B19" s="98">
        <f>+'2023-2024 Budg v Act'!J20</f>
        <v>0</v>
      </c>
      <c r="C19" s="100">
        <f>+'2023-2024 Income Stmt Forecast'!N20</f>
        <v>1540</v>
      </c>
      <c r="D19" s="51">
        <f t="shared" si="1"/>
        <v>1540</v>
      </c>
      <c r="E19" s="125">
        <v>1600</v>
      </c>
      <c r="F19" s="91" t="s">
        <v>344</v>
      </c>
    </row>
    <row r="20" spans="1:8" ht="15.75" x14ac:dyDescent="0.25">
      <c r="A20" s="97" t="s">
        <v>305</v>
      </c>
      <c r="B20" s="98">
        <f>+'2023-2024 Budg v Act'!J21</f>
        <v>1000</v>
      </c>
      <c r="C20" s="96">
        <f>+'2023-2024 Income Stmt Forecast'!N21</f>
        <v>4087.5</v>
      </c>
      <c r="D20" s="51">
        <f t="shared" si="1"/>
        <v>3087.5</v>
      </c>
      <c r="E20" s="125">
        <v>1000</v>
      </c>
      <c r="F20" s="91"/>
    </row>
    <row r="21" spans="1:8" ht="15.75" x14ac:dyDescent="0.25">
      <c r="A21" s="101" t="s">
        <v>336</v>
      </c>
      <c r="B21" s="98">
        <v>0</v>
      </c>
      <c r="C21" s="96">
        <v>0</v>
      </c>
      <c r="D21" s="51">
        <f>+C21-B21</f>
        <v>0</v>
      </c>
      <c r="E21" s="125">
        <v>500</v>
      </c>
      <c r="F21" s="91" t="s">
        <v>337</v>
      </c>
    </row>
    <row r="22" spans="1:8" ht="15.75" x14ac:dyDescent="0.25">
      <c r="A22" s="97" t="s">
        <v>192</v>
      </c>
      <c r="B22" s="98">
        <f>+'2023-2024 Budg v Act'!J22</f>
        <v>17000</v>
      </c>
      <c r="C22" s="96">
        <f>+'2023-2024 Income Stmt Forecast'!N22</f>
        <v>7082.6799999999994</v>
      </c>
      <c r="D22" s="51">
        <f t="shared" si="1"/>
        <v>-9917.32</v>
      </c>
      <c r="E22" s="125">
        <v>7604</v>
      </c>
      <c r="F22" s="91" t="s">
        <v>353</v>
      </c>
    </row>
    <row r="23" spans="1:8" ht="15.75" x14ac:dyDescent="0.25">
      <c r="A23" s="97" t="s">
        <v>193</v>
      </c>
      <c r="B23" s="98">
        <f>+'2023-2024 Budg v Act'!J25</f>
        <v>0</v>
      </c>
      <c r="C23" s="96">
        <f>+'2023-2024 Income Stmt Forecast'!N25</f>
        <v>299.75</v>
      </c>
      <c r="D23" s="51">
        <f t="shared" si="1"/>
        <v>299.75</v>
      </c>
      <c r="E23" s="125">
        <v>720</v>
      </c>
      <c r="F23" s="91"/>
    </row>
    <row r="24" spans="1:8" x14ac:dyDescent="0.25">
      <c r="A24" s="102" t="s">
        <v>194</v>
      </c>
      <c r="B24" s="93">
        <f>+'2023-2024 Budg v Act'!J28</f>
        <v>3500</v>
      </c>
      <c r="C24" s="96">
        <v>1870</v>
      </c>
      <c r="D24" s="51">
        <f t="shared" si="1"/>
        <v>-1630</v>
      </c>
      <c r="E24" s="125">
        <v>2500</v>
      </c>
      <c r="F24" s="91" t="s">
        <v>349</v>
      </c>
      <c r="H24" t="s">
        <v>352</v>
      </c>
    </row>
    <row r="25" spans="1:8" ht="15.75" x14ac:dyDescent="0.25">
      <c r="A25" s="97" t="s">
        <v>195</v>
      </c>
      <c r="B25" s="98">
        <f>+'2023-2024 Budg v Act'!J31</f>
        <v>8015</v>
      </c>
      <c r="C25" s="96">
        <v>7440</v>
      </c>
      <c r="D25" s="51">
        <f t="shared" si="1"/>
        <v>-575</v>
      </c>
      <c r="E25" s="125">
        <v>6500</v>
      </c>
      <c r="F25" s="91"/>
    </row>
    <row r="26" spans="1:8" ht="15.75" x14ac:dyDescent="0.25">
      <c r="A26" s="97" t="s">
        <v>311</v>
      </c>
      <c r="B26" s="98">
        <f>+'2023-2024 Budg v Act'!J32</f>
        <v>7500</v>
      </c>
      <c r="C26" s="96">
        <f>+'2023-2024 Income Stmt Forecast'!N32</f>
        <v>7380</v>
      </c>
      <c r="D26" s="51">
        <f t="shared" si="1"/>
        <v>-120</v>
      </c>
      <c r="E26" s="125">
        <v>7500</v>
      </c>
      <c r="F26" s="91" t="s">
        <v>343</v>
      </c>
    </row>
    <row r="27" spans="1:8" ht="15.75" x14ac:dyDescent="0.25">
      <c r="A27" s="97" t="s">
        <v>196</v>
      </c>
      <c r="B27" s="98">
        <f>+'2023-2024 Budg v Act'!J34</f>
        <v>0</v>
      </c>
      <c r="C27" s="96">
        <f>+'2023-2024 Income Stmt Forecast'!N34</f>
        <v>2999.7</v>
      </c>
      <c r="D27" s="51">
        <f t="shared" si="1"/>
        <v>2999.7</v>
      </c>
      <c r="E27" s="125">
        <v>2625</v>
      </c>
      <c r="F27" s="91" t="s">
        <v>342</v>
      </c>
    </row>
    <row r="28" spans="1:8" ht="15.75" x14ac:dyDescent="0.25">
      <c r="A28" s="97" t="s">
        <v>197</v>
      </c>
      <c r="B28" s="98">
        <f>+'2023-2024 Budg v Act'!J33</f>
        <v>0</v>
      </c>
      <c r="C28" s="96">
        <f>+'2023-2024 Income Stmt Forecast'!N33</f>
        <v>325</v>
      </c>
      <c r="D28" s="51">
        <f t="shared" si="1"/>
        <v>325</v>
      </c>
      <c r="E28" s="125">
        <v>0</v>
      </c>
      <c r="F28" s="91"/>
    </row>
    <row r="29" spans="1:8" ht="15.75" x14ac:dyDescent="0.25">
      <c r="A29" s="97" t="s">
        <v>198</v>
      </c>
      <c r="B29" s="98">
        <f>+'2023-2024 Budg v Act'!J37</f>
        <v>32405</v>
      </c>
      <c r="C29" s="96">
        <f>+'2023-2024 Income Stmt Forecast'!N37</f>
        <v>4951.1000000000004</v>
      </c>
      <c r="D29" s="51">
        <f t="shared" si="1"/>
        <v>-27453.9</v>
      </c>
      <c r="E29" s="125">
        <v>5440</v>
      </c>
      <c r="F29" s="103" t="s">
        <v>331</v>
      </c>
    </row>
    <row r="30" spans="1:8" ht="15.75" x14ac:dyDescent="0.25">
      <c r="A30" s="97" t="s">
        <v>199</v>
      </c>
      <c r="B30" s="98">
        <f>+'2023-2024 Budg v Act'!J38</f>
        <v>0</v>
      </c>
      <c r="C30" s="96">
        <f>+'2023-2024 Income Stmt Forecast'!N38</f>
        <v>16582.55</v>
      </c>
      <c r="D30" s="51">
        <f t="shared" si="1"/>
        <v>16582.55</v>
      </c>
      <c r="E30" s="125">
        <v>17704</v>
      </c>
      <c r="F30" s="103" t="s">
        <v>331</v>
      </c>
    </row>
    <row r="31" spans="1:8" ht="15.75" x14ac:dyDescent="0.25">
      <c r="A31" s="97" t="s">
        <v>200</v>
      </c>
      <c r="B31" s="98">
        <f>+'2023-2024 Budg v Act'!J39</f>
        <v>8500</v>
      </c>
      <c r="C31" s="96">
        <f>+'2023-2024 Income Stmt Forecast'!N39</f>
        <v>7920</v>
      </c>
      <c r="D31" s="51">
        <f t="shared" si="1"/>
        <v>-580</v>
      </c>
      <c r="E31" s="125">
        <f t="shared" ref="E31:E32" si="2">+C31*1.05</f>
        <v>8316</v>
      </c>
      <c r="F31" s="103" t="s">
        <v>331</v>
      </c>
    </row>
    <row r="32" spans="1:8" ht="15.75" x14ac:dyDescent="0.25">
      <c r="A32" s="97" t="s">
        <v>306</v>
      </c>
      <c r="B32" s="98">
        <f>+'2023-2024 Budg v Act'!J40</f>
        <v>13325</v>
      </c>
      <c r="C32" s="96">
        <f>+'2023-2024 Income Stmt Forecast'!N40</f>
        <v>14079.12</v>
      </c>
      <c r="D32" s="51">
        <f t="shared" si="1"/>
        <v>754.1200000000008</v>
      </c>
      <c r="E32" s="125">
        <f t="shared" si="2"/>
        <v>14783.076000000001</v>
      </c>
      <c r="F32" s="103" t="s">
        <v>331</v>
      </c>
    </row>
    <row r="33" spans="1:10" ht="15.75" x14ac:dyDescent="0.25">
      <c r="A33" s="97" t="s">
        <v>201</v>
      </c>
      <c r="B33" s="98">
        <f>+'2023-2024 Budg v Act'!J41</f>
        <v>7000</v>
      </c>
      <c r="C33" s="96">
        <f>+'2023-2024 Income Stmt Forecast'!N41</f>
        <v>5605.08</v>
      </c>
      <c r="D33" s="51">
        <f t="shared" si="1"/>
        <v>-1394.92</v>
      </c>
      <c r="E33" s="125">
        <f>+B33</f>
        <v>7000</v>
      </c>
      <c r="F33" s="103" t="s">
        <v>354</v>
      </c>
    </row>
    <row r="34" spans="1:10" ht="15.75" x14ac:dyDescent="0.25">
      <c r="A34" s="97" t="s">
        <v>202</v>
      </c>
      <c r="B34" s="98">
        <f>+'2023-2024 Budg v Act'!J42</f>
        <v>10000</v>
      </c>
      <c r="C34" s="96">
        <f>+'2023-2024 Income Stmt Forecast'!N42</f>
        <v>10211.81</v>
      </c>
      <c r="D34" s="51">
        <f t="shared" si="1"/>
        <v>211.80999999999949</v>
      </c>
      <c r="E34" s="125">
        <v>10708</v>
      </c>
      <c r="F34" s="103" t="s">
        <v>331</v>
      </c>
    </row>
    <row r="35" spans="1:10" ht="15.75" x14ac:dyDescent="0.25">
      <c r="A35" s="97" t="s">
        <v>203</v>
      </c>
      <c r="B35" s="98">
        <f>+'2023-2024 Budg v Act'!J43</f>
        <v>11600</v>
      </c>
      <c r="C35" s="96">
        <f>+'2023-2024 Income Stmt Forecast'!N43</f>
        <v>11422.800000000001</v>
      </c>
      <c r="D35" s="51">
        <f t="shared" si="1"/>
        <v>-177.19999999999891</v>
      </c>
      <c r="E35" s="125">
        <f>+C35*1.03</f>
        <v>11765.484000000002</v>
      </c>
      <c r="F35" s="103" t="s">
        <v>340</v>
      </c>
    </row>
    <row r="36" spans="1:10" x14ac:dyDescent="0.25">
      <c r="A36" s="97" t="s">
        <v>204</v>
      </c>
      <c r="B36" s="93">
        <f>+'2023-2024 Budg v Act'!J48</f>
        <v>500</v>
      </c>
      <c r="C36" s="96">
        <f>+'2023-2024 Income Stmt Forecast'!N48</f>
        <v>3195.01</v>
      </c>
      <c r="D36" s="51">
        <f t="shared" si="1"/>
        <v>2695.01</v>
      </c>
      <c r="E36" s="125">
        <v>1000</v>
      </c>
      <c r="F36" s="91"/>
    </row>
    <row r="37" spans="1:10" x14ac:dyDescent="0.25">
      <c r="A37" s="97" t="s">
        <v>312</v>
      </c>
      <c r="B37" s="93">
        <v>0</v>
      </c>
      <c r="C37" s="96">
        <f>+'2023-2024 Income Stmt Forecast'!N49</f>
        <v>159152.97</v>
      </c>
      <c r="D37" s="51">
        <f t="shared" si="1"/>
        <v>159152.97</v>
      </c>
      <c r="E37" s="125">
        <v>0</v>
      </c>
      <c r="F37" s="91"/>
    </row>
    <row r="38" spans="1:10" x14ac:dyDescent="0.25">
      <c r="A38" s="97" t="s">
        <v>205</v>
      </c>
      <c r="B38" s="93">
        <f>+'2023-2024 Budg v Act'!J50</f>
        <v>0</v>
      </c>
      <c r="C38" s="96">
        <f>+'2023-2024 Income Stmt Forecast'!N50</f>
        <v>392.97</v>
      </c>
      <c r="D38" s="51">
        <f t="shared" si="1"/>
        <v>392.97</v>
      </c>
      <c r="E38" s="125">
        <v>396</v>
      </c>
      <c r="F38" s="91"/>
      <c r="H38">
        <v>396</v>
      </c>
      <c r="J38" t="s">
        <v>359</v>
      </c>
    </row>
    <row r="39" spans="1:10" ht="15.75" x14ac:dyDescent="0.25">
      <c r="A39" s="97" t="s">
        <v>307</v>
      </c>
      <c r="B39" s="98">
        <f>+'2023-2024 Budg v Act'!J53</f>
        <v>25000</v>
      </c>
      <c r="C39" s="96">
        <f>+'2023-2024 Income Stmt Forecast'!N53</f>
        <v>29914.199999999997</v>
      </c>
      <c r="D39" s="51">
        <f t="shared" si="1"/>
        <v>4914.1999999999971</v>
      </c>
      <c r="E39" s="125">
        <v>35897</v>
      </c>
      <c r="F39" s="91" t="s">
        <v>355</v>
      </c>
    </row>
    <row r="40" spans="1:10" ht="15.75" x14ac:dyDescent="0.25">
      <c r="A40" s="97" t="s">
        <v>338</v>
      </c>
      <c r="B40" s="98">
        <v>0</v>
      </c>
      <c r="C40" s="96">
        <v>240</v>
      </c>
      <c r="D40" s="51">
        <f t="shared" si="1"/>
        <v>240</v>
      </c>
      <c r="E40" s="125">
        <v>264</v>
      </c>
      <c r="F40" s="91"/>
    </row>
    <row r="41" spans="1:10" ht="15.75" x14ac:dyDescent="0.25">
      <c r="A41" s="97" t="s">
        <v>206</v>
      </c>
      <c r="B41" s="98">
        <f>+'2023-2024 Budg v Act'!J57</f>
        <v>43775</v>
      </c>
      <c r="C41" s="96">
        <f>+'2023-2024 Income Stmt Forecast'!N57</f>
        <v>43775.039999999986</v>
      </c>
      <c r="D41" s="51">
        <f t="shared" si="1"/>
        <v>3.99999999863212E-2</v>
      </c>
      <c r="E41" s="125">
        <f>+B41*1.028</f>
        <v>45000.700000000004</v>
      </c>
      <c r="F41" s="91" t="s">
        <v>339</v>
      </c>
    </row>
    <row r="42" spans="1:10" ht="15.75" x14ac:dyDescent="0.25">
      <c r="A42" s="97" t="s">
        <v>207</v>
      </c>
      <c r="B42" s="98">
        <f>+'2023-2024 Budg v Act'!J58</f>
        <v>300</v>
      </c>
      <c r="C42" s="96">
        <f>+'2023-2024 Income Stmt Forecast'!N58</f>
        <v>4204.5</v>
      </c>
      <c r="D42" s="51">
        <f t="shared" si="1"/>
        <v>3904.5</v>
      </c>
      <c r="E42" s="125">
        <v>300</v>
      </c>
      <c r="F42" s="104"/>
    </row>
    <row r="43" spans="1:10" x14ac:dyDescent="0.25">
      <c r="A43" s="97" t="s">
        <v>208</v>
      </c>
      <c r="B43" s="93">
        <f>+'2023-2024 Budg v Act'!J61</f>
        <v>100</v>
      </c>
      <c r="C43" s="96">
        <f>+'2023-2024 Income Stmt Forecast'!N61</f>
        <v>392</v>
      </c>
      <c r="D43" s="51">
        <f t="shared" si="1"/>
        <v>292</v>
      </c>
      <c r="E43" s="127">
        <v>450</v>
      </c>
      <c r="F43" s="91" t="s">
        <v>341</v>
      </c>
    </row>
    <row r="44" spans="1:10" x14ac:dyDescent="0.25">
      <c r="A44" s="102" t="s">
        <v>313</v>
      </c>
      <c r="B44" s="93">
        <v>75</v>
      </c>
      <c r="C44" s="96">
        <f>+'2023-2024 Income Stmt Forecast'!N62</f>
        <v>57.5</v>
      </c>
      <c r="D44" s="51">
        <f t="shared" si="1"/>
        <v>-17.5</v>
      </c>
      <c r="E44" s="125">
        <v>0</v>
      </c>
      <c r="F44" s="91"/>
    </row>
    <row r="45" spans="1:10" x14ac:dyDescent="0.25">
      <c r="A45" s="102" t="s">
        <v>314</v>
      </c>
      <c r="B45" s="93">
        <v>0</v>
      </c>
      <c r="C45" s="100">
        <f>+'2023-2024 Income Stmt Forecast'!N63</f>
        <v>-648</v>
      </c>
      <c r="D45" s="83">
        <f t="shared" si="1"/>
        <v>-648</v>
      </c>
      <c r="E45" s="125">
        <v>0</v>
      </c>
      <c r="F45" s="91"/>
      <c r="H45" t="s">
        <v>360</v>
      </c>
    </row>
    <row r="46" spans="1:10" x14ac:dyDescent="0.25">
      <c r="A46" s="102" t="s">
        <v>209</v>
      </c>
      <c r="B46" s="93">
        <v>39</v>
      </c>
      <c r="C46" s="96">
        <f>+'2023-2024 Income Stmt Forecast'!N64</f>
        <v>60.95</v>
      </c>
      <c r="D46" s="51">
        <f t="shared" si="1"/>
        <v>21.950000000000003</v>
      </c>
      <c r="E46" s="125">
        <v>61</v>
      </c>
      <c r="F46" s="91"/>
    </row>
    <row r="47" spans="1:10" x14ac:dyDescent="0.25">
      <c r="A47" s="102" t="s">
        <v>315</v>
      </c>
      <c r="B47" s="93">
        <v>0</v>
      </c>
      <c r="C47" s="96">
        <f>+'2023-2024 Income Stmt Forecast'!N66</f>
        <v>361.68</v>
      </c>
      <c r="D47" s="51">
        <f t="shared" si="1"/>
        <v>361.68</v>
      </c>
      <c r="E47" s="125">
        <v>0</v>
      </c>
      <c r="F47" s="91"/>
    </row>
    <row r="48" spans="1:10" x14ac:dyDescent="0.25">
      <c r="A48" s="102" t="s">
        <v>316</v>
      </c>
      <c r="B48" s="93">
        <v>0</v>
      </c>
      <c r="C48" s="96">
        <f>+'2023-2024 Income Stmt Forecast'!N67</f>
        <v>-816.67</v>
      </c>
      <c r="D48" s="51">
        <f t="shared" si="1"/>
        <v>-816.67</v>
      </c>
      <c r="E48" s="125">
        <v>0</v>
      </c>
      <c r="F48" s="91"/>
    </row>
    <row r="49" spans="1:10" x14ac:dyDescent="0.25">
      <c r="A49" s="102"/>
      <c r="B49" s="93"/>
      <c r="C49" s="96"/>
      <c r="D49" s="51"/>
      <c r="E49" s="125"/>
      <c r="F49" s="91"/>
    </row>
    <row r="50" spans="1:10" x14ac:dyDescent="0.25">
      <c r="A50" s="105" t="s">
        <v>210</v>
      </c>
      <c r="B50" s="52">
        <f>SUM(B14:B49)</f>
        <v>531118.66999999993</v>
      </c>
      <c r="C50" s="53">
        <f>SUM(C14:C49)</f>
        <v>731371.89999999991</v>
      </c>
      <c r="D50" s="54">
        <f>SUM(D14:D49)</f>
        <v>200253.22999999995</v>
      </c>
      <c r="E50" s="128">
        <f>SUM(E14:E49)</f>
        <v>189634.26</v>
      </c>
      <c r="F50" s="91"/>
    </row>
    <row r="51" spans="1:10" x14ac:dyDescent="0.25">
      <c r="A51" s="106"/>
      <c r="B51" s="93"/>
      <c r="C51" s="94"/>
      <c r="D51" s="51"/>
      <c r="E51" s="129"/>
      <c r="F51" s="91"/>
    </row>
    <row r="52" spans="1:10" ht="15.75" thickBot="1" x14ac:dyDescent="0.3">
      <c r="A52" s="92" t="s">
        <v>45</v>
      </c>
      <c r="B52" s="55">
        <f>B12-B50</f>
        <v>378515.29000000004</v>
      </c>
      <c r="C52" s="89">
        <f>C12-C50</f>
        <v>178875.98000000021</v>
      </c>
      <c r="D52" s="57">
        <f>+B52-C52</f>
        <v>199639.30999999982</v>
      </c>
      <c r="E52" s="130">
        <f>E12-E50</f>
        <v>0</v>
      </c>
      <c r="F52" s="91"/>
      <c r="I52" s="137">
        <v>184886.25000000003</v>
      </c>
      <c r="J52" t="s">
        <v>361</v>
      </c>
    </row>
    <row r="53" spans="1:10" x14ac:dyDescent="0.25">
      <c r="A53" s="106"/>
      <c r="B53" s="93"/>
      <c r="C53" s="51"/>
      <c r="D53" s="51"/>
      <c r="E53" s="131"/>
      <c r="F53" s="91"/>
      <c r="I53" s="137"/>
    </row>
    <row r="54" spans="1:10" x14ac:dyDescent="0.25">
      <c r="A54" s="106"/>
      <c r="B54" s="93"/>
      <c r="C54" s="96"/>
      <c r="D54" s="51"/>
      <c r="E54" s="129"/>
      <c r="F54" s="91"/>
      <c r="I54" s="137">
        <v>5361.6299999999464</v>
      </c>
      <c r="J54" t="s">
        <v>362</v>
      </c>
    </row>
    <row r="55" spans="1:10" x14ac:dyDescent="0.25">
      <c r="A55" s="92" t="s">
        <v>211</v>
      </c>
      <c r="B55" s="93"/>
      <c r="C55" s="96"/>
      <c r="D55" s="51"/>
      <c r="E55" s="132">
        <f>(E57-B57)/B57</f>
        <v>8.5339523293733341E-6</v>
      </c>
      <c r="F55" s="91"/>
    </row>
    <row r="56" spans="1:10" ht="15.75" x14ac:dyDescent="0.25">
      <c r="A56" s="102" t="s">
        <v>333</v>
      </c>
      <c r="B56" s="98">
        <f>+'2023-2024 Budg v Act'!G77</f>
        <v>369500</v>
      </c>
      <c r="C56" s="96">
        <f>+'2023-2024 Income Stmt Forecast'!N76</f>
        <v>369500</v>
      </c>
      <c r="D56" s="51">
        <f>+B56-C56</f>
        <v>0</v>
      </c>
      <c r="E56" s="129">
        <v>0</v>
      </c>
      <c r="F56" s="91"/>
    </row>
    <row r="57" spans="1:10" ht="15.75" x14ac:dyDescent="0.25">
      <c r="A57" s="102" t="s">
        <v>334</v>
      </c>
      <c r="B57" s="98">
        <f>+'2023-2024 Budg v Act'!G78</f>
        <v>23435.8</v>
      </c>
      <c r="C57" s="96">
        <f>+'2023-2024 Income Stmt Forecast'!N77</f>
        <v>23435.759999999998</v>
      </c>
      <c r="D57" s="51">
        <f t="shared" ref="D57:D58" si="3">+B57-C57</f>
        <v>4.0000000000873115E-2</v>
      </c>
      <c r="E57" s="129">
        <v>23436</v>
      </c>
      <c r="F57" s="91"/>
    </row>
    <row r="58" spans="1:10" ht="15.75" x14ac:dyDescent="0.25">
      <c r="A58" s="102" t="s">
        <v>335</v>
      </c>
      <c r="B58" s="98">
        <f>+'2023-2024 Budg v Act'!G79</f>
        <v>0</v>
      </c>
      <c r="C58" s="96">
        <f>+'2023-2024 Income Stmt Forecast'!N78</f>
        <v>1879.04</v>
      </c>
      <c r="D58" s="51">
        <f t="shared" si="3"/>
        <v>-1879.04</v>
      </c>
      <c r="E58" s="129">
        <v>0</v>
      </c>
      <c r="F58" s="91"/>
    </row>
    <row r="59" spans="1:10" x14ac:dyDescent="0.25">
      <c r="A59" s="92" t="s">
        <v>212</v>
      </c>
      <c r="B59" s="52">
        <f>SUM(B56:B58)</f>
        <v>392935.8</v>
      </c>
      <c r="C59" s="53">
        <f>SUM(C56:C58)</f>
        <v>394814.8</v>
      </c>
      <c r="D59" s="54">
        <f>SUM(D56:D58)</f>
        <v>-1878.9999999999991</v>
      </c>
      <c r="E59" s="133">
        <f>SUM(E56:E58)</f>
        <v>23436</v>
      </c>
      <c r="F59" s="91"/>
    </row>
    <row r="60" spans="1:10" x14ac:dyDescent="0.25">
      <c r="A60" s="92"/>
      <c r="B60" s="93"/>
      <c r="C60" s="94"/>
      <c r="D60" s="51"/>
      <c r="E60" s="129"/>
      <c r="F60" s="91"/>
    </row>
    <row r="61" spans="1:10" x14ac:dyDescent="0.25">
      <c r="A61" s="92" t="s">
        <v>213</v>
      </c>
      <c r="B61" s="93"/>
      <c r="C61" s="96"/>
      <c r="D61" s="51"/>
      <c r="E61" s="129"/>
      <c r="F61" s="91"/>
    </row>
    <row r="62" spans="1:10" x14ac:dyDescent="0.25">
      <c r="A62" s="97" t="s">
        <v>345</v>
      </c>
      <c r="B62" s="93">
        <v>400000</v>
      </c>
      <c r="C62" s="96">
        <f>+'2023-2024 Income Stmt Forecast'!N83</f>
        <v>224455.40000000002</v>
      </c>
      <c r="D62" s="51">
        <f t="shared" ref="D62:D65" si="4">+B62-C62</f>
        <v>175544.59999999998</v>
      </c>
      <c r="E62" s="129">
        <v>105440</v>
      </c>
      <c r="F62" s="91"/>
    </row>
    <row r="63" spans="1:10" x14ac:dyDescent="0.25">
      <c r="A63" s="97" t="s">
        <v>346</v>
      </c>
      <c r="B63" s="93">
        <v>0</v>
      </c>
      <c r="C63" s="96">
        <v>0</v>
      </c>
      <c r="D63" s="51">
        <f t="shared" si="4"/>
        <v>0</v>
      </c>
      <c r="E63" s="129">
        <v>35000</v>
      </c>
      <c r="F63" s="91"/>
    </row>
    <row r="64" spans="1:10" x14ac:dyDescent="0.25">
      <c r="A64" s="97" t="s">
        <v>347</v>
      </c>
      <c r="B64" s="93">
        <v>0</v>
      </c>
      <c r="C64" s="96">
        <v>0</v>
      </c>
      <c r="D64" s="51">
        <f t="shared" si="4"/>
        <v>0</v>
      </c>
      <c r="E64" s="129">
        <v>5000</v>
      </c>
      <c r="F64" s="91"/>
    </row>
    <row r="65" spans="1:17" x14ac:dyDescent="0.25">
      <c r="A65" s="97" t="s">
        <v>348</v>
      </c>
      <c r="B65" s="93">
        <v>0</v>
      </c>
      <c r="C65" s="96">
        <v>0</v>
      </c>
      <c r="D65" s="51">
        <f t="shared" si="4"/>
        <v>0</v>
      </c>
      <c r="E65" s="129">
        <v>3023</v>
      </c>
      <c r="F65" s="91"/>
    </row>
    <row r="66" spans="1:17" x14ac:dyDescent="0.25">
      <c r="A66" s="92" t="s">
        <v>214</v>
      </c>
      <c r="B66" s="58">
        <f>SUM(B61:B63)</f>
        <v>400000</v>
      </c>
      <c r="C66" s="53">
        <f>SUM(C61:C63)</f>
        <v>224455.40000000002</v>
      </c>
      <c r="D66" s="59">
        <f>SUM(D61:D63)</f>
        <v>175544.59999999998</v>
      </c>
      <c r="E66" s="134">
        <f>SUM(E61:E65)</f>
        <v>148463</v>
      </c>
      <c r="F66" s="91"/>
    </row>
    <row r="67" spans="1:17" x14ac:dyDescent="0.25">
      <c r="A67" s="106"/>
      <c r="B67" s="60"/>
      <c r="C67" s="94"/>
      <c r="D67" s="61"/>
      <c r="E67" s="134"/>
      <c r="F67" s="91"/>
    </row>
    <row r="68" spans="1:17" ht="15.75" thickBot="1" x14ac:dyDescent="0.3">
      <c r="A68" s="92" t="s">
        <v>215</v>
      </c>
      <c r="B68" s="62">
        <f>B59-B66</f>
        <v>-7064.2000000000116</v>
      </c>
      <c r="C68" s="56">
        <f>C59-C66</f>
        <v>170359.39999999997</v>
      </c>
      <c r="D68" s="63"/>
      <c r="E68" s="135">
        <f>E59-E66</f>
        <v>-125027</v>
      </c>
      <c r="F68" s="91"/>
    </row>
    <row r="69" spans="1:17" x14ac:dyDescent="0.25">
      <c r="A69" s="106"/>
      <c r="B69" s="93"/>
      <c r="C69" s="51"/>
      <c r="D69" s="51"/>
      <c r="E69" s="129"/>
      <c r="F69" s="91"/>
      <c r="H69" t="s">
        <v>352</v>
      </c>
    </row>
    <row r="70" spans="1:17" x14ac:dyDescent="0.25">
      <c r="A70" s="106"/>
      <c r="B70" s="93"/>
      <c r="C70" s="96"/>
      <c r="D70" s="51"/>
      <c r="E70" s="129"/>
      <c r="F70" s="91"/>
    </row>
    <row r="71" spans="1:17" x14ac:dyDescent="0.25">
      <c r="A71" s="106" t="s">
        <v>216</v>
      </c>
      <c r="B71" s="93">
        <f>B12+B59</f>
        <v>1302569.76</v>
      </c>
      <c r="C71" s="96">
        <f>C12+C59</f>
        <v>1305062.6800000002</v>
      </c>
      <c r="D71" s="51">
        <f>C71-B71</f>
        <v>2492.9200000001583</v>
      </c>
      <c r="E71" s="129">
        <f>E12+E59</f>
        <v>213070.26</v>
      </c>
      <c r="F71" s="91"/>
    </row>
    <row r="72" spans="1:17" x14ac:dyDescent="0.25">
      <c r="A72" s="106" t="s">
        <v>217</v>
      </c>
      <c r="B72" s="93">
        <f>B50+B66</f>
        <v>931118.66999999993</v>
      </c>
      <c r="C72" s="96">
        <f>C50+C66</f>
        <v>955827.29999999993</v>
      </c>
      <c r="D72" s="51">
        <f>B72-C72</f>
        <v>-24708.630000000005</v>
      </c>
      <c r="E72" s="129">
        <f>E50+E66</f>
        <v>338097.26</v>
      </c>
      <c r="F72" s="91"/>
    </row>
    <row r="73" spans="1:17" ht="15.75" thickBot="1" x14ac:dyDescent="0.3">
      <c r="A73" s="106"/>
      <c r="B73" s="64"/>
      <c r="C73" s="65"/>
      <c r="D73" s="66"/>
      <c r="E73" s="136"/>
      <c r="F73" s="91"/>
    </row>
    <row r="74" spans="1:17" ht="16.5" thickTop="1" thickBot="1" x14ac:dyDescent="0.3">
      <c r="A74" s="92" t="s">
        <v>218</v>
      </c>
      <c r="B74" s="67">
        <f>B71-B72</f>
        <v>371451.09000000008</v>
      </c>
      <c r="C74" s="65">
        <f>C71-C72</f>
        <v>349235.38000000024</v>
      </c>
      <c r="D74" s="68"/>
      <c r="E74" s="136">
        <f>E71-E72</f>
        <v>-125027</v>
      </c>
      <c r="F74" s="91"/>
    </row>
    <row r="75" spans="1:17" ht="15.75" thickTop="1" x14ac:dyDescent="0.25">
      <c r="A75" s="107"/>
      <c r="B75" s="108"/>
      <c r="C75" s="109"/>
      <c r="D75" s="109"/>
      <c r="E75" s="110"/>
      <c r="F75" s="110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</row>
    <row r="76" spans="1:17" x14ac:dyDescent="0.25">
      <c r="A76" s="107"/>
      <c r="B76" s="108"/>
      <c r="C76" s="109"/>
      <c r="D76" s="109"/>
      <c r="E76" s="110"/>
      <c r="F76" s="110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</row>
    <row r="77" spans="1:17" x14ac:dyDescent="0.25">
      <c r="A77" s="111"/>
      <c r="B77" s="70" t="s">
        <v>350</v>
      </c>
      <c r="C77" s="71" t="s">
        <v>351</v>
      </c>
      <c r="D77" s="72" t="s">
        <v>219</v>
      </c>
      <c r="E77" s="112"/>
      <c r="F77" s="112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</row>
    <row r="78" spans="1:17" x14ac:dyDescent="0.25">
      <c r="A78" s="107" t="s">
        <v>72</v>
      </c>
      <c r="B78" s="113">
        <f>B8</f>
        <v>189633.96</v>
      </c>
      <c r="C78" s="114">
        <f>E8</f>
        <v>189634.26</v>
      </c>
      <c r="D78" s="74">
        <f>(C78-B78)/B78</f>
        <v>1.5819951237503152E-6</v>
      </c>
      <c r="E78" s="112"/>
      <c r="F78" s="112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</row>
    <row r="79" spans="1:17" x14ac:dyDescent="0.25">
      <c r="A79" s="107" t="s">
        <v>220</v>
      </c>
      <c r="B79" s="113">
        <f>B57</f>
        <v>23435.8</v>
      </c>
      <c r="C79" s="114">
        <f>E57</f>
        <v>23436</v>
      </c>
      <c r="D79" s="74">
        <f>(C79-B79)/B79</f>
        <v>8.5339523293733341E-6</v>
      </c>
      <c r="E79" s="112"/>
      <c r="F79" s="112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</row>
    <row r="80" spans="1:17" x14ac:dyDescent="0.25">
      <c r="A80" s="115" t="s">
        <v>74</v>
      </c>
      <c r="B80" s="116">
        <f>B57+B8</f>
        <v>213069.75999999998</v>
      </c>
      <c r="C80" s="117">
        <f>E57+E8</f>
        <v>213070.26</v>
      </c>
      <c r="D80" s="118">
        <f>(C80-B80)/B80</f>
        <v>2.3466492853284477E-6</v>
      </c>
      <c r="E80" s="119"/>
      <c r="F80" s="11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</row>
  </sheetData>
  <mergeCells count="3">
    <mergeCell ref="A1:E1"/>
    <mergeCell ref="A2:E2"/>
    <mergeCell ref="A3:E3"/>
  </mergeCells>
  <printOptions horizontalCentered="1" verticalCentered="1"/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178B2-2E4A-4F8B-8DF6-2032CA8DA0AF}">
  <sheetPr>
    <pageSetUpPr fitToPage="1"/>
  </sheetPr>
  <dimension ref="A1:E80"/>
  <sheetViews>
    <sheetView workbookViewId="0">
      <selection activeCell="M9" sqref="M9"/>
    </sheetView>
  </sheetViews>
  <sheetFormatPr defaultRowHeight="15" x14ac:dyDescent="0.25"/>
  <cols>
    <col min="1" max="1" width="38.85546875" customWidth="1"/>
    <col min="2" max="2" width="12.7109375" bestFit="1" customWidth="1"/>
    <col min="3" max="3" width="16" customWidth="1"/>
    <col min="4" max="4" width="18.7109375" customWidth="1"/>
    <col min="5" max="5" width="14.28515625" customWidth="1"/>
  </cols>
  <sheetData>
    <row r="1" spans="1:5" ht="21" x14ac:dyDescent="0.35">
      <c r="A1" s="145" t="s">
        <v>317</v>
      </c>
      <c r="B1" s="146"/>
      <c r="C1" s="146"/>
      <c r="D1" s="146"/>
      <c r="E1" s="147"/>
    </row>
    <row r="2" spans="1:5" ht="18.75" x14ac:dyDescent="0.3">
      <c r="A2" s="148" t="s">
        <v>185</v>
      </c>
      <c r="B2" s="149"/>
      <c r="C2" s="149"/>
      <c r="D2" s="149"/>
      <c r="E2" s="150"/>
    </row>
    <row r="3" spans="1:5" x14ac:dyDescent="0.25">
      <c r="A3" s="151"/>
      <c r="B3" s="152"/>
      <c r="C3" s="152"/>
      <c r="D3" s="152"/>
      <c r="E3" s="153"/>
    </row>
    <row r="4" spans="1:5" ht="45" x14ac:dyDescent="0.25">
      <c r="A4" s="90" t="s">
        <v>103</v>
      </c>
      <c r="B4" s="48" t="s">
        <v>186</v>
      </c>
      <c r="C4" s="49" t="s">
        <v>357</v>
      </c>
      <c r="D4" s="49" t="s">
        <v>358</v>
      </c>
      <c r="E4" s="123" t="s">
        <v>187</v>
      </c>
    </row>
    <row r="5" spans="1:5" x14ac:dyDescent="0.25">
      <c r="A5" s="92" t="s">
        <v>188</v>
      </c>
      <c r="B5" s="93"/>
      <c r="C5" s="94"/>
      <c r="D5" s="50"/>
      <c r="E5" s="124">
        <f>(E8-B8)/B8</f>
        <v>1.5819951237503152E-6</v>
      </c>
    </row>
    <row r="6" spans="1:5" ht="15.75" x14ac:dyDescent="0.25">
      <c r="A6" s="95" t="s">
        <v>230</v>
      </c>
      <c r="B6" s="93">
        <v>720000</v>
      </c>
      <c r="C6" s="96">
        <f>+'2023-2024 Income Stmt Forecast'!N5</f>
        <v>720000</v>
      </c>
      <c r="D6" s="51">
        <f>+B6-C6</f>
        <v>0</v>
      </c>
      <c r="E6" s="125">
        <v>0</v>
      </c>
    </row>
    <row r="7" spans="1:5" ht="15.75" x14ac:dyDescent="0.25">
      <c r="A7" s="95" t="s">
        <v>231</v>
      </c>
      <c r="B7" s="93">
        <f>+'2023-2024 Budg v Act'!G5</f>
        <v>0</v>
      </c>
      <c r="C7" s="96">
        <f>+'2023-2024 Income Stmt Forecast'!N6</f>
        <v>812.9</v>
      </c>
      <c r="D7" s="51">
        <f t="shared" ref="D7:D10" si="0">+B7-C7</f>
        <v>-812.9</v>
      </c>
      <c r="E7" s="125">
        <v>0</v>
      </c>
    </row>
    <row r="8" spans="1:5" ht="15.75" x14ac:dyDescent="0.25">
      <c r="A8" s="95" t="s">
        <v>232</v>
      </c>
      <c r="B8" s="93">
        <f>+'2023-2024 Budg v Act'!G6</f>
        <v>189633.96</v>
      </c>
      <c r="C8" s="96">
        <f>+'2023-2024 Income Stmt Forecast'!N7</f>
        <v>189307.55000000002</v>
      </c>
      <c r="D8" s="51">
        <f t="shared" si="0"/>
        <v>326.40999999997439</v>
      </c>
      <c r="E8" s="125">
        <f>+E50</f>
        <v>189634.26</v>
      </c>
    </row>
    <row r="9" spans="1:5" ht="15.75" x14ac:dyDescent="0.25">
      <c r="A9" s="95" t="s">
        <v>233</v>
      </c>
      <c r="B9" s="93">
        <f>+'2023-2024 Budg v Act'!G7</f>
        <v>0</v>
      </c>
      <c r="C9" s="96">
        <f>+'2023-2024 Income Stmt Forecast'!N8</f>
        <v>2.4300000000000002</v>
      </c>
      <c r="D9" s="51">
        <f t="shared" si="0"/>
        <v>-2.4300000000000002</v>
      </c>
      <c r="E9" s="125">
        <v>0</v>
      </c>
    </row>
    <row r="10" spans="1:5" ht="15.75" x14ac:dyDescent="0.25">
      <c r="A10" s="95" t="s">
        <v>234</v>
      </c>
      <c r="B10" s="93">
        <f>+'2023-2024 Budg v Act'!G8</f>
        <v>0</v>
      </c>
      <c r="C10" s="96">
        <f>+'2023-2024 Income Stmt Forecast'!N9</f>
        <v>125</v>
      </c>
      <c r="D10" s="51">
        <f t="shared" si="0"/>
        <v>-125</v>
      </c>
      <c r="E10" s="125">
        <v>0</v>
      </c>
    </row>
    <row r="11" spans="1:5" ht="15.75" x14ac:dyDescent="0.25">
      <c r="A11" s="97" t="s">
        <v>356</v>
      </c>
      <c r="B11" s="98">
        <v>0</v>
      </c>
      <c r="C11" s="96">
        <v>0</v>
      </c>
      <c r="D11" s="51">
        <v>0</v>
      </c>
      <c r="E11" s="125">
        <v>0</v>
      </c>
    </row>
    <row r="12" spans="1:5" x14ac:dyDescent="0.25">
      <c r="A12" s="92" t="s">
        <v>189</v>
      </c>
      <c r="B12" s="52">
        <f>SUM(B6:B8)</f>
        <v>909633.96</v>
      </c>
      <c r="C12" s="53">
        <f>SUM(C6:C11)</f>
        <v>910247.88000000012</v>
      </c>
      <c r="D12" s="54">
        <f>SUM(D6:D8)</f>
        <v>-486.49000000002559</v>
      </c>
      <c r="E12" s="126">
        <f>SUM(E6:E11)</f>
        <v>189634.26</v>
      </c>
    </row>
    <row r="13" spans="1:5" x14ac:dyDescent="0.25">
      <c r="A13" s="92"/>
      <c r="B13" s="93"/>
      <c r="C13" s="96"/>
      <c r="D13" s="51"/>
      <c r="E13" s="125"/>
    </row>
    <row r="14" spans="1:5" x14ac:dyDescent="0.25">
      <c r="A14" s="99" t="s">
        <v>190</v>
      </c>
      <c r="B14" s="93"/>
      <c r="C14" s="96"/>
      <c r="D14" s="51"/>
      <c r="E14" s="125"/>
    </row>
    <row r="15" spans="1:5" x14ac:dyDescent="0.25">
      <c r="A15" s="97" t="s">
        <v>308</v>
      </c>
      <c r="B15" s="93">
        <v>0</v>
      </c>
      <c r="C15" s="96">
        <f>+'2023-2024 Income Stmt Forecast'!N15</f>
        <v>3230.65</v>
      </c>
      <c r="D15" s="51">
        <f>+C15-B15</f>
        <v>3230.65</v>
      </c>
      <c r="E15" s="125">
        <v>0</v>
      </c>
    </row>
    <row r="16" spans="1:5" x14ac:dyDescent="0.25">
      <c r="A16" s="97" t="s">
        <v>309</v>
      </c>
      <c r="B16" s="93">
        <v>0</v>
      </c>
      <c r="C16" s="96">
        <f>+'2023-2024 Income Stmt Forecast'!N16</f>
        <v>1437.34</v>
      </c>
      <c r="D16" s="51">
        <f t="shared" ref="D16:D48" si="1">+C16-B16</f>
        <v>1437.34</v>
      </c>
      <c r="E16" s="125">
        <v>0</v>
      </c>
    </row>
    <row r="17" spans="1:5" x14ac:dyDescent="0.25">
      <c r="A17" s="97" t="s">
        <v>310</v>
      </c>
      <c r="B17" s="93">
        <v>0</v>
      </c>
      <c r="C17" s="96">
        <f>+'2023-2024 Income Stmt Forecast'!N17</f>
        <v>41140</v>
      </c>
      <c r="D17" s="51">
        <f t="shared" si="1"/>
        <v>41140</v>
      </c>
      <c r="E17" s="125">
        <v>0</v>
      </c>
    </row>
    <row r="18" spans="1:5" x14ac:dyDescent="0.25">
      <c r="A18" s="97" t="s">
        <v>332</v>
      </c>
      <c r="B18" s="93">
        <v>341484.67</v>
      </c>
      <c r="C18" s="96">
        <v>341484.67</v>
      </c>
      <c r="D18" s="51">
        <f>+C18-B18</f>
        <v>0</v>
      </c>
      <c r="E18" s="125">
        <v>0</v>
      </c>
    </row>
    <row r="19" spans="1:5" ht="15.75" x14ac:dyDescent="0.25">
      <c r="A19" s="97" t="s">
        <v>191</v>
      </c>
      <c r="B19" s="98">
        <f>+'2023-2024 Budg v Act'!J20</f>
        <v>0</v>
      </c>
      <c r="C19" s="100">
        <f>+'2023-2024 Income Stmt Forecast'!N20</f>
        <v>1540</v>
      </c>
      <c r="D19" s="51">
        <f t="shared" si="1"/>
        <v>1540</v>
      </c>
      <c r="E19" s="125">
        <v>1600</v>
      </c>
    </row>
    <row r="20" spans="1:5" ht="15.75" x14ac:dyDescent="0.25">
      <c r="A20" s="97" t="s">
        <v>305</v>
      </c>
      <c r="B20" s="98">
        <f>+'2023-2024 Budg v Act'!J21</f>
        <v>1000</v>
      </c>
      <c r="C20" s="96">
        <f>+'2023-2024 Income Stmt Forecast'!N21</f>
        <v>4087.5</v>
      </c>
      <c r="D20" s="51">
        <f t="shared" si="1"/>
        <v>3087.5</v>
      </c>
      <c r="E20" s="125">
        <v>1000</v>
      </c>
    </row>
    <row r="21" spans="1:5" ht="15.75" x14ac:dyDescent="0.25">
      <c r="A21" s="97" t="s">
        <v>336</v>
      </c>
      <c r="B21" s="98">
        <v>0</v>
      </c>
      <c r="C21" s="96">
        <v>0</v>
      </c>
      <c r="D21" s="51">
        <f>+C21-B21</f>
        <v>0</v>
      </c>
      <c r="E21" s="125">
        <v>500</v>
      </c>
    </row>
    <row r="22" spans="1:5" ht="15.75" x14ac:dyDescent="0.25">
      <c r="A22" s="97" t="s">
        <v>192</v>
      </c>
      <c r="B22" s="98">
        <f>+'2023-2024 Budg v Act'!J22</f>
        <v>17000</v>
      </c>
      <c r="C22" s="96">
        <f>+'2023-2024 Income Stmt Forecast'!N22</f>
        <v>7082.6799999999994</v>
      </c>
      <c r="D22" s="51">
        <f t="shared" si="1"/>
        <v>-9917.32</v>
      </c>
      <c r="E22" s="125">
        <v>8000</v>
      </c>
    </row>
    <row r="23" spans="1:5" ht="15.75" x14ac:dyDescent="0.25">
      <c r="A23" s="97" t="s">
        <v>193</v>
      </c>
      <c r="B23" s="98">
        <f>+'2023-2024 Budg v Act'!J25</f>
        <v>0</v>
      </c>
      <c r="C23" s="96">
        <f>+'2023-2024 Income Stmt Forecast'!N25</f>
        <v>299.75</v>
      </c>
      <c r="D23" s="51">
        <f t="shared" si="1"/>
        <v>299.75</v>
      </c>
      <c r="E23" s="125">
        <v>720</v>
      </c>
    </row>
    <row r="24" spans="1:5" x14ac:dyDescent="0.25">
      <c r="A24" s="102" t="s">
        <v>194</v>
      </c>
      <c r="B24" s="93">
        <f>+'2023-2024 Budg v Act'!J28</f>
        <v>3500</v>
      </c>
      <c r="C24" s="96">
        <v>1870</v>
      </c>
      <c r="D24" s="51">
        <f t="shared" si="1"/>
        <v>-1630</v>
      </c>
      <c r="E24" s="125">
        <v>2500</v>
      </c>
    </row>
    <row r="25" spans="1:5" ht="15.75" x14ac:dyDescent="0.25">
      <c r="A25" s="97" t="s">
        <v>195</v>
      </c>
      <c r="B25" s="98">
        <f>+'2023-2024 Budg v Act'!J31</f>
        <v>8015</v>
      </c>
      <c r="C25" s="96">
        <v>7440</v>
      </c>
      <c r="D25" s="51">
        <f t="shared" si="1"/>
        <v>-575</v>
      </c>
      <c r="E25" s="125">
        <v>6500</v>
      </c>
    </row>
    <row r="26" spans="1:5" ht="15.75" x14ac:dyDescent="0.25">
      <c r="A26" s="97" t="s">
        <v>311</v>
      </c>
      <c r="B26" s="98">
        <f>+'2023-2024 Budg v Act'!J32</f>
        <v>7500</v>
      </c>
      <c r="C26" s="96">
        <f>+'2023-2024 Income Stmt Forecast'!N32</f>
        <v>7380</v>
      </c>
      <c r="D26" s="51">
        <f t="shared" si="1"/>
        <v>-120</v>
      </c>
      <c r="E26" s="125">
        <v>7500</v>
      </c>
    </row>
    <row r="27" spans="1:5" ht="15.75" x14ac:dyDescent="0.25">
      <c r="A27" s="97" t="s">
        <v>196</v>
      </c>
      <c r="B27" s="98">
        <f>+'2023-2024 Budg v Act'!J34</f>
        <v>0</v>
      </c>
      <c r="C27" s="96">
        <f>+'2023-2024 Income Stmt Forecast'!N34</f>
        <v>2999.7</v>
      </c>
      <c r="D27" s="51">
        <f t="shared" si="1"/>
        <v>2999.7</v>
      </c>
      <c r="E27" s="125">
        <v>2625</v>
      </c>
    </row>
    <row r="28" spans="1:5" ht="15.75" x14ac:dyDescent="0.25">
      <c r="A28" s="97" t="s">
        <v>197</v>
      </c>
      <c r="B28" s="98">
        <f>+'2023-2024 Budg v Act'!J33</f>
        <v>0</v>
      </c>
      <c r="C28" s="96">
        <f>+'2023-2024 Income Stmt Forecast'!N33</f>
        <v>325</v>
      </c>
      <c r="D28" s="51">
        <f t="shared" si="1"/>
        <v>325</v>
      </c>
      <c r="E28" s="125">
        <v>0</v>
      </c>
    </row>
    <row r="29" spans="1:5" ht="15.75" x14ac:dyDescent="0.25">
      <c r="A29" s="97" t="s">
        <v>198</v>
      </c>
      <c r="B29" s="98">
        <f>+'2023-2024 Budg v Act'!J37</f>
        <v>32405</v>
      </c>
      <c r="C29" s="96">
        <f>+'2023-2024 Income Stmt Forecast'!N37</f>
        <v>4951.1000000000004</v>
      </c>
      <c r="D29" s="51">
        <f t="shared" si="1"/>
        <v>-27453.9</v>
      </c>
      <c r="E29" s="125">
        <v>5440</v>
      </c>
    </row>
    <row r="30" spans="1:5" ht="15.75" x14ac:dyDescent="0.25">
      <c r="A30" s="97" t="s">
        <v>199</v>
      </c>
      <c r="B30" s="98">
        <f>+'2023-2024 Budg v Act'!J38</f>
        <v>0</v>
      </c>
      <c r="C30" s="96">
        <f>+'2023-2024 Income Stmt Forecast'!N38</f>
        <v>16582.55</v>
      </c>
      <c r="D30" s="51">
        <f t="shared" si="1"/>
        <v>16582.55</v>
      </c>
      <c r="E30" s="125">
        <v>17704</v>
      </c>
    </row>
    <row r="31" spans="1:5" ht="15.75" x14ac:dyDescent="0.25">
      <c r="A31" s="97" t="s">
        <v>200</v>
      </c>
      <c r="B31" s="98">
        <f>+'2023-2024 Budg v Act'!J39</f>
        <v>8500</v>
      </c>
      <c r="C31" s="96">
        <f>+'2023-2024 Income Stmt Forecast'!N39</f>
        <v>7920</v>
      </c>
      <c r="D31" s="51">
        <f t="shared" si="1"/>
        <v>-580</v>
      </c>
      <c r="E31" s="125">
        <f t="shared" ref="E31:E32" si="2">+C31*1.05</f>
        <v>8316</v>
      </c>
    </row>
    <row r="32" spans="1:5" ht="15.75" x14ac:dyDescent="0.25">
      <c r="A32" s="97" t="s">
        <v>306</v>
      </c>
      <c r="B32" s="98">
        <f>+'2023-2024 Budg v Act'!J40</f>
        <v>13325</v>
      </c>
      <c r="C32" s="96">
        <f>+'2023-2024 Income Stmt Forecast'!N40</f>
        <v>14079.12</v>
      </c>
      <c r="D32" s="51">
        <f t="shared" si="1"/>
        <v>754.1200000000008</v>
      </c>
      <c r="E32" s="125">
        <f t="shared" si="2"/>
        <v>14783.076000000001</v>
      </c>
    </row>
    <row r="33" spans="1:5" ht="15.75" x14ac:dyDescent="0.25">
      <c r="A33" s="97" t="s">
        <v>201</v>
      </c>
      <c r="B33" s="98">
        <f>+'2023-2024 Budg v Act'!J41</f>
        <v>7000</v>
      </c>
      <c r="C33" s="96">
        <f>+'2023-2024 Income Stmt Forecast'!N41</f>
        <v>5605.08</v>
      </c>
      <c r="D33" s="51">
        <f t="shared" si="1"/>
        <v>-1394.92</v>
      </c>
      <c r="E33" s="125">
        <f>+B33</f>
        <v>7000</v>
      </c>
    </row>
    <row r="34" spans="1:5" ht="15.75" x14ac:dyDescent="0.25">
      <c r="A34" s="97" t="s">
        <v>202</v>
      </c>
      <c r="B34" s="98">
        <f>+'2023-2024 Budg v Act'!J42</f>
        <v>10000</v>
      </c>
      <c r="C34" s="96">
        <f>+'2023-2024 Income Stmt Forecast'!N42</f>
        <v>10211.81</v>
      </c>
      <c r="D34" s="51">
        <f t="shared" si="1"/>
        <v>211.80999999999949</v>
      </c>
      <c r="E34" s="125">
        <v>10708</v>
      </c>
    </row>
    <row r="35" spans="1:5" ht="15.75" x14ac:dyDescent="0.25">
      <c r="A35" s="97" t="s">
        <v>203</v>
      </c>
      <c r="B35" s="98">
        <f>+'2023-2024 Budg v Act'!J43</f>
        <v>11600</v>
      </c>
      <c r="C35" s="96">
        <f>+'2023-2024 Income Stmt Forecast'!N43</f>
        <v>11422.800000000001</v>
      </c>
      <c r="D35" s="51">
        <f t="shared" si="1"/>
        <v>-177.19999999999891</v>
      </c>
      <c r="E35" s="125">
        <f>+C35*1.03</f>
        <v>11765.484000000002</v>
      </c>
    </row>
    <row r="36" spans="1:5" x14ac:dyDescent="0.25">
      <c r="A36" s="97" t="s">
        <v>204</v>
      </c>
      <c r="B36" s="93">
        <f>+'2023-2024 Budg v Act'!J48</f>
        <v>500</v>
      </c>
      <c r="C36" s="96">
        <f>+'2023-2024 Income Stmt Forecast'!N48</f>
        <v>3195.01</v>
      </c>
      <c r="D36" s="51">
        <f t="shared" si="1"/>
        <v>2695.01</v>
      </c>
      <c r="E36" s="125">
        <v>1000</v>
      </c>
    </row>
    <row r="37" spans="1:5" x14ac:dyDescent="0.25">
      <c r="A37" s="97" t="s">
        <v>312</v>
      </c>
      <c r="B37" s="93">
        <v>0</v>
      </c>
      <c r="C37" s="96">
        <f>+'2023-2024 Income Stmt Forecast'!N49</f>
        <v>159152.97</v>
      </c>
      <c r="D37" s="51">
        <f t="shared" si="1"/>
        <v>159152.97</v>
      </c>
      <c r="E37" s="125">
        <v>0</v>
      </c>
    </row>
    <row r="38" spans="1:5" x14ac:dyDescent="0.25">
      <c r="A38" s="97" t="s">
        <v>205</v>
      </c>
      <c r="B38" s="93">
        <f>+'2023-2024 Budg v Act'!J50</f>
        <v>0</v>
      </c>
      <c r="C38" s="96">
        <f>+'2023-2024 Income Stmt Forecast'!N50</f>
        <v>392.97</v>
      </c>
      <c r="D38" s="51">
        <f t="shared" si="1"/>
        <v>392.97</v>
      </c>
      <c r="E38" s="125">
        <v>0</v>
      </c>
    </row>
    <row r="39" spans="1:5" ht="15.75" x14ac:dyDescent="0.25">
      <c r="A39" s="97" t="s">
        <v>307</v>
      </c>
      <c r="B39" s="98">
        <f>+'2023-2024 Budg v Act'!J53</f>
        <v>25000</v>
      </c>
      <c r="C39" s="96">
        <f>+'2023-2024 Income Stmt Forecast'!N53</f>
        <v>29914.199999999997</v>
      </c>
      <c r="D39" s="51">
        <f t="shared" si="1"/>
        <v>4914.1999999999971</v>
      </c>
      <c r="E39" s="125">
        <v>35897</v>
      </c>
    </row>
    <row r="40" spans="1:5" ht="15.75" x14ac:dyDescent="0.25">
      <c r="A40" s="97" t="s">
        <v>338</v>
      </c>
      <c r="B40" s="98">
        <v>0</v>
      </c>
      <c r="C40" s="96">
        <v>240</v>
      </c>
      <c r="D40" s="51">
        <f t="shared" si="1"/>
        <v>240</v>
      </c>
      <c r="E40" s="125">
        <v>264</v>
      </c>
    </row>
    <row r="41" spans="1:5" ht="15.75" x14ac:dyDescent="0.25">
      <c r="A41" s="97" t="s">
        <v>206</v>
      </c>
      <c r="B41" s="98">
        <f>+'2023-2024 Budg v Act'!J57</f>
        <v>43775</v>
      </c>
      <c r="C41" s="96">
        <f>+'2023-2024 Income Stmt Forecast'!N57</f>
        <v>43775.039999999986</v>
      </c>
      <c r="D41" s="51">
        <f t="shared" si="1"/>
        <v>3.99999999863212E-2</v>
      </c>
      <c r="E41" s="125">
        <f>+B41*1.028</f>
        <v>45000.700000000004</v>
      </c>
    </row>
    <row r="42" spans="1:5" ht="15.75" x14ac:dyDescent="0.25">
      <c r="A42" s="97" t="s">
        <v>207</v>
      </c>
      <c r="B42" s="98">
        <f>+'2023-2024 Budg v Act'!J58</f>
        <v>300</v>
      </c>
      <c r="C42" s="96">
        <f>+'2023-2024 Income Stmt Forecast'!N58</f>
        <v>4204.5</v>
      </c>
      <c r="D42" s="51">
        <f t="shared" si="1"/>
        <v>3904.5</v>
      </c>
      <c r="E42" s="125">
        <v>300</v>
      </c>
    </row>
    <row r="43" spans="1:5" x14ac:dyDescent="0.25">
      <c r="A43" s="97" t="s">
        <v>208</v>
      </c>
      <c r="B43" s="93">
        <f>+'2023-2024 Budg v Act'!J61</f>
        <v>100</v>
      </c>
      <c r="C43" s="96">
        <f>+'2023-2024 Income Stmt Forecast'!N61</f>
        <v>392</v>
      </c>
      <c r="D43" s="51">
        <f t="shared" si="1"/>
        <v>292</v>
      </c>
      <c r="E43" s="127">
        <v>450</v>
      </c>
    </row>
    <row r="44" spans="1:5" x14ac:dyDescent="0.25">
      <c r="A44" s="102" t="s">
        <v>313</v>
      </c>
      <c r="B44" s="93">
        <v>75</v>
      </c>
      <c r="C44" s="96">
        <f>+'2023-2024 Income Stmt Forecast'!N62</f>
        <v>57.5</v>
      </c>
      <c r="D44" s="51">
        <f t="shared" si="1"/>
        <v>-17.5</v>
      </c>
      <c r="E44" s="125">
        <v>0</v>
      </c>
    </row>
    <row r="45" spans="1:5" x14ac:dyDescent="0.25">
      <c r="A45" s="102" t="s">
        <v>314</v>
      </c>
      <c r="B45" s="93">
        <v>0</v>
      </c>
      <c r="C45" s="100">
        <f>+'2023-2024 Income Stmt Forecast'!N63</f>
        <v>-648</v>
      </c>
      <c r="D45" s="83">
        <f t="shared" si="1"/>
        <v>-648</v>
      </c>
      <c r="E45" s="125">
        <v>0</v>
      </c>
    </row>
    <row r="46" spans="1:5" x14ac:dyDescent="0.25">
      <c r="A46" s="102" t="s">
        <v>209</v>
      </c>
      <c r="B46" s="93">
        <v>39</v>
      </c>
      <c r="C46" s="96">
        <f>+'2023-2024 Income Stmt Forecast'!N64</f>
        <v>60.95</v>
      </c>
      <c r="D46" s="51">
        <f t="shared" si="1"/>
        <v>21.950000000000003</v>
      </c>
      <c r="E46" s="125">
        <v>61</v>
      </c>
    </row>
    <row r="47" spans="1:5" x14ac:dyDescent="0.25">
      <c r="A47" s="102" t="s">
        <v>315</v>
      </c>
      <c r="B47" s="93">
        <v>0</v>
      </c>
      <c r="C47" s="96">
        <f>+'2023-2024 Income Stmt Forecast'!N66</f>
        <v>361.68</v>
      </c>
      <c r="D47" s="51">
        <f t="shared" si="1"/>
        <v>361.68</v>
      </c>
      <c r="E47" s="125">
        <v>0</v>
      </c>
    </row>
    <row r="48" spans="1:5" x14ac:dyDescent="0.25">
      <c r="A48" s="102" t="s">
        <v>316</v>
      </c>
      <c r="B48" s="93">
        <v>0</v>
      </c>
      <c r="C48" s="96">
        <f>+'2023-2024 Income Stmt Forecast'!N67</f>
        <v>-816.67</v>
      </c>
      <c r="D48" s="51">
        <f t="shared" si="1"/>
        <v>-816.67</v>
      </c>
      <c r="E48" s="125">
        <v>0</v>
      </c>
    </row>
    <row r="49" spans="1:5" x14ac:dyDescent="0.25">
      <c r="A49" s="102"/>
      <c r="B49" s="93"/>
      <c r="C49" s="96"/>
      <c r="D49" s="51"/>
      <c r="E49" s="125"/>
    </row>
    <row r="50" spans="1:5" x14ac:dyDescent="0.25">
      <c r="A50" s="105" t="s">
        <v>210</v>
      </c>
      <c r="B50" s="52">
        <f>SUM(B14:B49)</f>
        <v>531118.66999999993</v>
      </c>
      <c r="C50" s="53">
        <f>SUM(C14:C49)</f>
        <v>731371.89999999991</v>
      </c>
      <c r="D50" s="54">
        <f>SUM(D14:D49)</f>
        <v>200253.22999999995</v>
      </c>
      <c r="E50" s="128">
        <f>SUM(E14:E49)</f>
        <v>189634.26</v>
      </c>
    </row>
    <row r="51" spans="1:5" x14ac:dyDescent="0.25">
      <c r="A51" s="106"/>
      <c r="B51" s="93"/>
      <c r="C51" s="94"/>
      <c r="D51" s="51"/>
      <c r="E51" s="129"/>
    </row>
    <row r="52" spans="1:5" ht="15.75" thickBot="1" x14ac:dyDescent="0.3">
      <c r="A52" s="92" t="s">
        <v>45</v>
      </c>
      <c r="B52" s="55">
        <f>B12-B50</f>
        <v>378515.29000000004</v>
      </c>
      <c r="C52" s="89">
        <f>C12-C50</f>
        <v>178875.98000000021</v>
      </c>
      <c r="D52" s="57">
        <f>+B52-C52</f>
        <v>199639.30999999982</v>
      </c>
      <c r="E52" s="130">
        <f>E12-E50</f>
        <v>0</v>
      </c>
    </row>
    <row r="53" spans="1:5" x14ac:dyDescent="0.25">
      <c r="A53" s="106"/>
      <c r="B53" s="93"/>
      <c r="C53" s="51"/>
      <c r="D53" s="51"/>
      <c r="E53" s="131"/>
    </row>
    <row r="54" spans="1:5" x14ac:dyDescent="0.25">
      <c r="A54" s="106"/>
      <c r="B54" s="93"/>
      <c r="C54" s="96"/>
      <c r="D54" s="51"/>
      <c r="E54" s="129"/>
    </row>
    <row r="55" spans="1:5" x14ac:dyDescent="0.25">
      <c r="A55" s="92" t="s">
        <v>211</v>
      </c>
      <c r="B55" s="93"/>
      <c r="C55" s="96"/>
      <c r="D55" s="51"/>
      <c r="E55" s="132">
        <f>(E57-B57)/B57</f>
        <v>8.5339523293733341E-6</v>
      </c>
    </row>
    <row r="56" spans="1:5" ht="15.75" x14ac:dyDescent="0.25">
      <c r="A56" s="102" t="s">
        <v>333</v>
      </c>
      <c r="B56" s="98">
        <f>+'2023-2024 Budg v Act'!G77</f>
        <v>369500</v>
      </c>
      <c r="C56" s="96">
        <f>+'2023-2024 Income Stmt Forecast'!N76</f>
        <v>369500</v>
      </c>
      <c r="D56" s="51">
        <f>+B56-C56</f>
        <v>0</v>
      </c>
      <c r="E56" s="129">
        <v>0</v>
      </c>
    </row>
    <row r="57" spans="1:5" ht="15.75" x14ac:dyDescent="0.25">
      <c r="A57" s="102" t="s">
        <v>334</v>
      </c>
      <c r="B57" s="98">
        <f>+'2023-2024 Budg v Act'!G78</f>
        <v>23435.8</v>
      </c>
      <c r="C57" s="96">
        <f>+'2023-2024 Income Stmt Forecast'!N77</f>
        <v>23435.759999999998</v>
      </c>
      <c r="D57" s="51">
        <f t="shared" ref="D57:D58" si="3">+B57-C57</f>
        <v>4.0000000000873115E-2</v>
      </c>
      <c r="E57" s="129">
        <v>23436</v>
      </c>
    </row>
    <row r="58" spans="1:5" ht="15.75" x14ac:dyDescent="0.25">
      <c r="A58" s="102" t="s">
        <v>335</v>
      </c>
      <c r="B58" s="98">
        <f>+'2023-2024 Budg v Act'!G79</f>
        <v>0</v>
      </c>
      <c r="C58" s="96">
        <f>+'2023-2024 Income Stmt Forecast'!N78</f>
        <v>1879.04</v>
      </c>
      <c r="D58" s="51">
        <f t="shared" si="3"/>
        <v>-1879.04</v>
      </c>
      <c r="E58" s="129">
        <v>0</v>
      </c>
    </row>
    <row r="59" spans="1:5" x14ac:dyDescent="0.25">
      <c r="A59" s="92" t="s">
        <v>212</v>
      </c>
      <c r="B59" s="52">
        <f>SUM(B56:B58)</f>
        <v>392935.8</v>
      </c>
      <c r="C59" s="53">
        <f>SUM(C56:C58)</f>
        <v>394814.8</v>
      </c>
      <c r="D59" s="54">
        <f>SUM(D56:D58)</f>
        <v>-1878.9999999999991</v>
      </c>
      <c r="E59" s="133">
        <f>SUM(E56:E58)</f>
        <v>23436</v>
      </c>
    </row>
    <row r="60" spans="1:5" x14ac:dyDescent="0.25">
      <c r="A60" s="92"/>
      <c r="B60" s="93"/>
      <c r="C60" s="94"/>
      <c r="D60" s="51"/>
      <c r="E60" s="129"/>
    </row>
    <row r="61" spans="1:5" x14ac:dyDescent="0.25">
      <c r="A61" s="92" t="s">
        <v>213</v>
      </c>
      <c r="B61" s="93"/>
      <c r="C61" s="96"/>
      <c r="D61" s="51"/>
      <c r="E61" s="129"/>
    </row>
    <row r="62" spans="1:5" x14ac:dyDescent="0.25">
      <c r="A62" s="97" t="s">
        <v>345</v>
      </c>
      <c r="B62" s="93">
        <v>400000</v>
      </c>
      <c r="C62" s="96">
        <f>+'2023-2024 Income Stmt Forecast'!N83</f>
        <v>224455.40000000002</v>
      </c>
      <c r="D62" s="51">
        <f t="shared" ref="D62:D65" si="4">+B62-C62</f>
        <v>175544.59999999998</v>
      </c>
      <c r="E62" s="129">
        <v>105440</v>
      </c>
    </row>
    <row r="63" spans="1:5" x14ac:dyDescent="0.25">
      <c r="A63" s="97" t="s">
        <v>346</v>
      </c>
      <c r="B63" s="93">
        <v>0</v>
      </c>
      <c r="C63" s="96">
        <v>0</v>
      </c>
      <c r="D63" s="51">
        <f t="shared" si="4"/>
        <v>0</v>
      </c>
      <c r="E63" s="129">
        <v>35000</v>
      </c>
    </row>
    <row r="64" spans="1:5" x14ac:dyDescent="0.25">
      <c r="A64" s="97" t="s">
        <v>347</v>
      </c>
      <c r="B64" s="93">
        <v>0</v>
      </c>
      <c r="C64" s="96">
        <v>0</v>
      </c>
      <c r="D64" s="51">
        <f t="shared" si="4"/>
        <v>0</v>
      </c>
      <c r="E64" s="129">
        <v>5000</v>
      </c>
    </row>
    <row r="65" spans="1:5" x14ac:dyDescent="0.25">
      <c r="A65" s="97" t="s">
        <v>348</v>
      </c>
      <c r="B65" s="93">
        <v>0</v>
      </c>
      <c r="C65" s="96">
        <v>0</v>
      </c>
      <c r="D65" s="51">
        <f t="shared" si="4"/>
        <v>0</v>
      </c>
      <c r="E65" s="129">
        <v>3023</v>
      </c>
    </row>
    <row r="66" spans="1:5" x14ac:dyDescent="0.25">
      <c r="A66" s="92" t="s">
        <v>214</v>
      </c>
      <c r="B66" s="58">
        <f>SUM(B61:B63)</f>
        <v>400000</v>
      </c>
      <c r="C66" s="53">
        <f>SUM(C61:C63)</f>
        <v>224455.40000000002</v>
      </c>
      <c r="D66" s="59">
        <f>SUM(D61:D63)</f>
        <v>175544.59999999998</v>
      </c>
      <c r="E66" s="134">
        <f>SUM(E61:E65)</f>
        <v>148463</v>
      </c>
    </row>
    <row r="67" spans="1:5" x14ac:dyDescent="0.25">
      <c r="A67" s="106"/>
      <c r="B67" s="60"/>
      <c r="C67" s="94"/>
      <c r="D67" s="61"/>
      <c r="E67" s="134"/>
    </row>
    <row r="68" spans="1:5" ht="15.75" thickBot="1" x14ac:dyDescent="0.3">
      <c r="A68" s="92" t="s">
        <v>215</v>
      </c>
      <c r="B68" s="62">
        <f>B59-B66</f>
        <v>-7064.2000000000116</v>
      </c>
      <c r="C68" s="56">
        <f>C59-C66</f>
        <v>170359.39999999997</v>
      </c>
      <c r="D68" s="63"/>
      <c r="E68" s="135">
        <f>E59-E66</f>
        <v>-125027</v>
      </c>
    </row>
    <row r="69" spans="1:5" x14ac:dyDescent="0.25">
      <c r="A69" s="106"/>
      <c r="B69" s="93"/>
      <c r="C69" s="51"/>
      <c r="D69" s="51"/>
      <c r="E69" s="129"/>
    </row>
    <row r="70" spans="1:5" x14ac:dyDescent="0.25">
      <c r="A70" s="106"/>
      <c r="B70" s="93"/>
      <c r="C70" s="96"/>
      <c r="D70" s="51"/>
      <c r="E70" s="129"/>
    </row>
    <row r="71" spans="1:5" x14ac:dyDescent="0.25">
      <c r="A71" s="106" t="s">
        <v>216</v>
      </c>
      <c r="B71" s="93">
        <f>B12+B59</f>
        <v>1302569.76</v>
      </c>
      <c r="C71" s="96">
        <f>C12+C59</f>
        <v>1305062.6800000002</v>
      </c>
      <c r="D71" s="51">
        <f>C71-B71</f>
        <v>2492.9200000001583</v>
      </c>
      <c r="E71" s="129">
        <f>E12+E59</f>
        <v>213070.26</v>
      </c>
    </row>
    <row r="72" spans="1:5" x14ac:dyDescent="0.25">
      <c r="A72" s="106" t="s">
        <v>217</v>
      </c>
      <c r="B72" s="93">
        <f>B50+B66</f>
        <v>931118.66999999993</v>
      </c>
      <c r="C72" s="96">
        <f>C50+C66</f>
        <v>955827.29999999993</v>
      </c>
      <c r="D72" s="51">
        <f>B72-C72</f>
        <v>-24708.630000000005</v>
      </c>
      <c r="E72" s="129">
        <f>E50+E66</f>
        <v>338097.26</v>
      </c>
    </row>
    <row r="73" spans="1:5" ht="15.75" thickBot="1" x14ac:dyDescent="0.3">
      <c r="A73" s="106"/>
      <c r="B73" s="64"/>
      <c r="C73" s="65"/>
      <c r="D73" s="66"/>
      <c r="E73" s="136"/>
    </row>
    <row r="74" spans="1:5" ht="16.5" thickTop="1" thickBot="1" x14ac:dyDescent="0.3">
      <c r="A74" s="92" t="s">
        <v>218</v>
      </c>
      <c r="B74" s="67">
        <f>B71-B72</f>
        <v>371451.09000000008</v>
      </c>
      <c r="C74" s="65">
        <f>C71-C72</f>
        <v>349235.38000000024</v>
      </c>
      <c r="D74" s="68"/>
      <c r="E74" s="136">
        <f>E71-E72</f>
        <v>-125027</v>
      </c>
    </row>
    <row r="75" spans="1:5" ht="15.75" thickTop="1" x14ac:dyDescent="0.25">
      <c r="A75" s="107"/>
      <c r="B75" s="108"/>
      <c r="C75" s="109"/>
      <c r="D75" s="109"/>
      <c r="E75" s="110"/>
    </row>
    <row r="76" spans="1:5" x14ac:dyDescent="0.25">
      <c r="A76" s="107"/>
      <c r="B76" s="108"/>
      <c r="C76" s="109"/>
      <c r="D76" s="109"/>
      <c r="E76" s="110"/>
    </row>
    <row r="77" spans="1:5" x14ac:dyDescent="0.25">
      <c r="A77" s="111"/>
      <c r="B77" s="70" t="s">
        <v>350</v>
      </c>
      <c r="C77" s="71" t="s">
        <v>351</v>
      </c>
      <c r="D77" s="72" t="s">
        <v>219</v>
      </c>
      <c r="E77" s="112"/>
    </row>
    <row r="78" spans="1:5" x14ac:dyDescent="0.25">
      <c r="A78" s="107" t="s">
        <v>72</v>
      </c>
      <c r="B78" s="113">
        <f>B8</f>
        <v>189633.96</v>
      </c>
      <c r="C78" s="114">
        <f>E8</f>
        <v>189634.26</v>
      </c>
      <c r="D78" s="74">
        <f>(C78-B78)/B78</f>
        <v>1.5819951237503152E-6</v>
      </c>
      <c r="E78" s="112"/>
    </row>
    <row r="79" spans="1:5" x14ac:dyDescent="0.25">
      <c r="A79" s="107" t="s">
        <v>220</v>
      </c>
      <c r="B79" s="113">
        <f>B57</f>
        <v>23435.8</v>
      </c>
      <c r="C79" s="114">
        <f>E57</f>
        <v>23436</v>
      </c>
      <c r="D79" s="74">
        <f>(C79-B79)/B79</f>
        <v>8.5339523293733341E-6</v>
      </c>
      <c r="E79" s="112"/>
    </row>
    <row r="80" spans="1:5" x14ac:dyDescent="0.25">
      <c r="A80" s="115" t="s">
        <v>74</v>
      </c>
      <c r="B80" s="116">
        <f>B57+B8</f>
        <v>213069.75999999998</v>
      </c>
      <c r="C80" s="117">
        <f>E57+E8</f>
        <v>213070.26</v>
      </c>
      <c r="D80" s="118">
        <f>(C80-B80)/B80</f>
        <v>2.3466492853284477E-6</v>
      </c>
      <c r="E80" s="119"/>
    </row>
  </sheetData>
  <mergeCells count="3">
    <mergeCell ref="A1:E1"/>
    <mergeCell ref="A2:E2"/>
    <mergeCell ref="A3:E3"/>
  </mergeCells>
  <printOptions horizontalCentered="1"/>
  <pageMargins left="0.2" right="0.2" top="0.5" bottom="0.5" header="0.3" footer="0.3"/>
  <pageSetup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A49C6-56B7-4456-BD89-B65CCD9E2A27}">
  <dimension ref="A1:AC38"/>
  <sheetViews>
    <sheetView workbookViewId="0">
      <selection activeCell="E1" sqref="E1"/>
    </sheetView>
  </sheetViews>
  <sheetFormatPr defaultColWidth="9.140625" defaultRowHeight="15" x14ac:dyDescent="0.25"/>
  <cols>
    <col min="1" max="1" width="4.85546875" style="4" bestFit="1" customWidth="1"/>
    <col min="2" max="2" width="14" style="5" bestFit="1" customWidth="1"/>
    <col min="3" max="3" width="12" style="4" bestFit="1" customWidth="1"/>
    <col min="4" max="4" width="3.7109375" style="4" customWidth="1"/>
    <col min="5" max="5" width="12.5703125" style="5" bestFit="1" customWidth="1"/>
    <col min="6" max="6" width="9" style="4" bestFit="1" customWidth="1"/>
    <col min="7" max="7" width="2" style="4" customWidth="1"/>
    <col min="8" max="8" width="17.85546875" style="4" customWidth="1"/>
    <col min="9" max="9" width="15" style="4" customWidth="1"/>
    <col min="10" max="10" width="1.5703125" style="4" customWidth="1"/>
    <col min="11" max="11" width="12.5703125" style="4" bestFit="1" customWidth="1"/>
    <col min="12" max="12" width="9" style="4" bestFit="1" customWidth="1"/>
    <col min="13" max="13" width="1.28515625" style="4" customWidth="1"/>
    <col min="14" max="14" width="10.5703125" style="4" bestFit="1" customWidth="1"/>
    <col min="15" max="15" width="10.28515625" style="4" customWidth="1"/>
    <col min="16" max="16" width="3.140625" style="4" customWidth="1"/>
    <col min="17" max="17" width="14.85546875" style="6" bestFit="1" customWidth="1"/>
    <col min="18" max="18" width="12.5703125" style="4" bestFit="1" customWidth="1"/>
    <col min="19" max="29" width="11.5703125" style="4" bestFit="1" customWidth="1"/>
    <col min="30" max="16384" width="9.140625" style="4"/>
  </cols>
  <sheetData>
    <row r="1" spans="1:29" ht="18.75" x14ac:dyDescent="0.3">
      <c r="A1" s="144" t="s">
        <v>91</v>
      </c>
      <c r="B1" s="144"/>
      <c r="C1" s="144"/>
      <c r="E1" s="5">
        <f>+'2024-2025 Approved Budget'!E8</f>
        <v>189634.26</v>
      </c>
      <c r="H1" s="88">
        <v>20279</v>
      </c>
    </row>
    <row r="2" spans="1:29" s="6" customFormat="1" x14ac:dyDescent="0.25">
      <c r="A2" s="6" t="s">
        <v>77</v>
      </c>
      <c r="B2" s="7" t="s">
        <v>330</v>
      </c>
      <c r="C2" s="6" t="s">
        <v>76</v>
      </c>
      <c r="E2" s="143" t="s">
        <v>72</v>
      </c>
      <c r="F2" s="143"/>
      <c r="G2" s="10"/>
      <c r="H2" s="143" t="s">
        <v>73</v>
      </c>
      <c r="I2" s="143"/>
      <c r="K2" s="143" t="s">
        <v>74</v>
      </c>
      <c r="L2" s="143"/>
      <c r="N2" s="143" t="s">
        <v>75</v>
      </c>
      <c r="O2" s="143"/>
    </row>
    <row r="3" spans="1:29" x14ac:dyDescent="0.25">
      <c r="E3" s="5" t="s">
        <v>71</v>
      </c>
      <c r="F3" s="4" t="s">
        <v>70</v>
      </c>
      <c r="H3" s="4" t="s">
        <v>71</v>
      </c>
      <c r="I3" s="4" t="s">
        <v>70</v>
      </c>
      <c r="K3" s="4" t="s">
        <v>71</v>
      </c>
      <c r="L3" s="4" t="s">
        <v>70</v>
      </c>
      <c r="N3" s="4" t="s">
        <v>71</v>
      </c>
      <c r="O3" s="4" t="s">
        <v>70</v>
      </c>
      <c r="R3" s="6" t="s">
        <v>78</v>
      </c>
      <c r="S3" s="6" t="s">
        <v>79</v>
      </c>
      <c r="T3" s="6" t="s">
        <v>80</v>
      </c>
      <c r="U3" s="6" t="s">
        <v>81</v>
      </c>
      <c r="V3" s="6" t="s">
        <v>82</v>
      </c>
      <c r="W3" s="6" t="s">
        <v>83</v>
      </c>
      <c r="X3" s="6" t="s">
        <v>84</v>
      </c>
      <c r="Y3" s="6" t="s">
        <v>85</v>
      </c>
      <c r="Z3" s="6" t="s">
        <v>86</v>
      </c>
      <c r="AA3" s="6" t="s">
        <v>87</v>
      </c>
      <c r="AB3" s="6" t="s">
        <v>88</v>
      </c>
      <c r="AC3" s="6" t="s">
        <v>89</v>
      </c>
    </row>
    <row r="4" spans="1:29" x14ac:dyDescent="0.25">
      <c r="A4" s="4">
        <v>111</v>
      </c>
      <c r="B4" s="5">
        <v>582.41</v>
      </c>
      <c r="C4" s="9">
        <f t="shared" ref="C4:C36" si="0">B4/$B$38</f>
        <v>3.2587081100377016E-2</v>
      </c>
      <c r="E4" s="5">
        <f>$E$1*C4</f>
        <v>6179.6270100299816</v>
      </c>
      <c r="F4" s="8">
        <f t="shared" ref="F4:F12" si="1">E4/12</f>
        <v>514.96891750249847</v>
      </c>
      <c r="H4" s="5">
        <f>$H$1*C4</f>
        <v>660.83341763454553</v>
      </c>
      <c r="I4" s="8">
        <f t="shared" ref="I4:I12" si="2">H4/12</f>
        <v>55.069451469545463</v>
      </c>
      <c r="K4" s="8">
        <f t="shared" ref="K4:K36" si="3">+E4+H4</f>
        <v>6840.4604276645268</v>
      </c>
      <c r="L4" s="8">
        <f>K4/12</f>
        <v>570.03836897204394</v>
      </c>
      <c r="N4" s="8">
        <f>(B4*12)-K4</f>
        <v>148.45957233547324</v>
      </c>
      <c r="O4" s="8">
        <f t="shared" ref="O4:O36" si="4">B4-L4</f>
        <v>12.371631027956028</v>
      </c>
      <c r="Q4" s="6" t="s">
        <v>72</v>
      </c>
      <c r="R4" s="8">
        <f>(SUM($F$4:$F$36)-$F$13)</f>
        <v>15184.248598902672</v>
      </c>
      <c r="S4" s="8">
        <f>(SUM($F$4:$F$36)-$F$13)</f>
        <v>15184.248598902672</v>
      </c>
      <c r="T4" s="8">
        <f>(SUM($F$4:$F$36))</f>
        <v>15802.855000000005</v>
      </c>
      <c r="U4" s="8">
        <f t="shared" ref="U4:AC4" si="5">(SUM($F$4:$F$36))</f>
        <v>15802.855000000005</v>
      </c>
      <c r="V4" s="8">
        <f t="shared" si="5"/>
        <v>15802.855000000005</v>
      </c>
      <c r="W4" s="8">
        <f t="shared" si="5"/>
        <v>15802.855000000005</v>
      </c>
      <c r="X4" s="8">
        <f t="shared" si="5"/>
        <v>15802.855000000005</v>
      </c>
      <c r="Y4" s="8">
        <f t="shared" si="5"/>
        <v>15802.855000000005</v>
      </c>
      <c r="Z4" s="8">
        <f t="shared" si="5"/>
        <v>15802.855000000005</v>
      </c>
      <c r="AA4" s="8">
        <f t="shared" si="5"/>
        <v>15802.855000000005</v>
      </c>
      <c r="AB4" s="8">
        <f t="shared" si="5"/>
        <v>15802.855000000005</v>
      </c>
      <c r="AC4" s="8">
        <f t="shared" si="5"/>
        <v>15802.855000000005</v>
      </c>
    </row>
    <row r="5" spans="1:29" x14ac:dyDescent="0.25">
      <c r="A5" s="4">
        <v>112</v>
      </c>
      <c r="B5" s="5">
        <v>582.41</v>
      </c>
      <c r="C5" s="9">
        <f t="shared" si="0"/>
        <v>3.2587081100377016E-2</v>
      </c>
      <c r="E5" s="5">
        <f t="shared" ref="E5:E36" si="6">$E$1*C5</f>
        <v>6179.6270100299816</v>
      </c>
      <c r="F5" s="8">
        <f t="shared" si="1"/>
        <v>514.96891750249847</v>
      </c>
      <c r="H5" s="5">
        <f t="shared" ref="H5:H36" si="7">$H$1*C5</f>
        <v>660.83341763454553</v>
      </c>
      <c r="I5" s="8">
        <f t="shared" si="2"/>
        <v>55.069451469545463</v>
      </c>
      <c r="K5" s="8">
        <f t="shared" si="3"/>
        <v>6840.4604276645268</v>
      </c>
      <c r="L5" s="8">
        <f t="shared" ref="L5:L12" si="8">K5/12</f>
        <v>570.03836897204394</v>
      </c>
      <c r="N5" s="8">
        <f t="shared" ref="N5:N36" si="9">(B5*12)-K5</f>
        <v>148.45957233547324</v>
      </c>
      <c r="O5" s="8">
        <f t="shared" si="4"/>
        <v>12.371631027956028</v>
      </c>
      <c r="Q5" s="6" t="s">
        <v>73</v>
      </c>
      <c r="R5" s="8">
        <f>(SUM($I$4:$I$36)-$I$13)</f>
        <v>1623.7644892708058</v>
      </c>
      <c r="S5" s="8">
        <f>(SUM($I$4:$I$36)-$I$13)</f>
        <v>1623.7644892708058</v>
      </c>
      <c r="T5" s="8">
        <f t="shared" ref="T5:AC5" si="10">(SUM($I$4:$I$36))</f>
        <v>1703.147102145839</v>
      </c>
      <c r="U5" s="8">
        <f t="shared" si="10"/>
        <v>1703.147102145839</v>
      </c>
      <c r="V5" s="8">
        <f t="shared" si="10"/>
        <v>1703.147102145839</v>
      </c>
      <c r="W5" s="8">
        <f t="shared" si="10"/>
        <v>1703.147102145839</v>
      </c>
      <c r="X5" s="8">
        <f t="shared" si="10"/>
        <v>1703.147102145839</v>
      </c>
      <c r="Y5" s="8">
        <f t="shared" si="10"/>
        <v>1703.147102145839</v>
      </c>
      <c r="Z5" s="8">
        <f t="shared" si="10"/>
        <v>1703.147102145839</v>
      </c>
      <c r="AA5" s="8">
        <f t="shared" si="10"/>
        <v>1703.147102145839</v>
      </c>
      <c r="AB5" s="8">
        <f t="shared" si="10"/>
        <v>1703.147102145839</v>
      </c>
      <c r="AC5" s="8">
        <f t="shared" si="10"/>
        <v>1703.147102145839</v>
      </c>
    </row>
    <row r="6" spans="1:29" x14ac:dyDescent="0.25">
      <c r="A6" s="4">
        <v>113</v>
      </c>
      <c r="B6" s="5">
        <v>499.21</v>
      </c>
      <c r="C6" s="9">
        <f t="shared" si="0"/>
        <v>2.7931863731940058E-2</v>
      </c>
      <c r="E6" s="5">
        <f t="shared" si="6"/>
        <v>5296.8383092272916</v>
      </c>
      <c r="F6" s="8">
        <f t="shared" si="1"/>
        <v>441.40319243560765</v>
      </c>
      <c r="H6" s="5">
        <f t="shared" si="7"/>
        <v>566.43026462001239</v>
      </c>
      <c r="I6" s="8">
        <f t="shared" si="2"/>
        <v>47.2025220516677</v>
      </c>
      <c r="K6" s="8">
        <f t="shared" si="3"/>
        <v>5863.2685738473037</v>
      </c>
      <c r="L6" s="8">
        <f t="shared" si="8"/>
        <v>488.60571448727529</v>
      </c>
      <c r="N6" s="8">
        <f t="shared" si="9"/>
        <v>127.25142615269579</v>
      </c>
      <c r="O6" s="8">
        <f t="shared" si="4"/>
        <v>10.604285512724687</v>
      </c>
    </row>
    <row r="7" spans="1:29" x14ac:dyDescent="0.25">
      <c r="A7" s="4">
        <v>114</v>
      </c>
      <c r="B7" s="5">
        <v>499.21</v>
      </c>
      <c r="C7" s="9">
        <f t="shared" si="0"/>
        <v>2.7931863731940058E-2</v>
      </c>
      <c r="E7" s="5">
        <f t="shared" si="6"/>
        <v>5296.8383092272916</v>
      </c>
      <c r="F7" s="8">
        <f t="shared" si="1"/>
        <v>441.40319243560765</v>
      </c>
      <c r="H7" s="5">
        <f t="shared" si="7"/>
        <v>566.43026462001239</v>
      </c>
      <c r="I7" s="8">
        <f t="shared" si="2"/>
        <v>47.2025220516677</v>
      </c>
      <c r="K7" s="8">
        <f t="shared" si="3"/>
        <v>5863.2685738473037</v>
      </c>
      <c r="L7" s="8">
        <f t="shared" si="8"/>
        <v>488.60571448727529</v>
      </c>
      <c r="N7" s="8">
        <f t="shared" si="9"/>
        <v>127.25142615269579</v>
      </c>
      <c r="O7" s="8">
        <f t="shared" si="4"/>
        <v>10.604285512724687</v>
      </c>
    </row>
    <row r="8" spans="1:29" x14ac:dyDescent="0.25">
      <c r="A8" s="4">
        <v>115</v>
      </c>
      <c r="B8" s="5">
        <v>582.41</v>
      </c>
      <c r="C8" s="9">
        <f t="shared" si="0"/>
        <v>3.2587081100377016E-2</v>
      </c>
      <c r="E8" s="5">
        <f t="shared" si="6"/>
        <v>6179.6270100299816</v>
      </c>
      <c r="F8" s="8">
        <f t="shared" si="1"/>
        <v>514.96891750249847</v>
      </c>
      <c r="H8" s="5">
        <f t="shared" si="7"/>
        <v>660.83341763454553</v>
      </c>
      <c r="I8" s="8">
        <f t="shared" si="2"/>
        <v>55.069451469545463</v>
      </c>
      <c r="K8" s="8">
        <f t="shared" si="3"/>
        <v>6840.4604276645268</v>
      </c>
      <c r="L8" s="8">
        <f t="shared" si="8"/>
        <v>570.03836897204394</v>
      </c>
      <c r="N8" s="8">
        <f t="shared" si="9"/>
        <v>148.45957233547324</v>
      </c>
      <c r="O8" s="8">
        <f t="shared" si="4"/>
        <v>12.371631027956028</v>
      </c>
      <c r="Q8" s="6" t="s">
        <v>16</v>
      </c>
      <c r="R8" s="8">
        <f>SUM(R4:R7)</f>
        <v>16808.013088173477</v>
      </c>
      <c r="S8" s="8">
        <f t="shared" ref="S8:AC8" si="11">SUM(S4:S7)</f>
        <v>16808.013088173477</v>
      </c>
      <c r="T8" s="8">
        <f t="shared" si="11"/>
        <v>17506.002102145845</v>
      </c>
      <c r="U8" s="8">
        <f t="shared" si="11"/>
        <v>17506.002102145845</v>
      </c>
      <c r="V8" s="8">
        <f t="shared" si="11"/>
        <v>17506.002102145845</v>
      </c>
      <c r="W8" s="8">
        <f t="shared" si="11"/>
        <v>17506.002102145845</v>
      </c>
      <c r="X8" s="8">
        <f t="shared" si="11"/>
        <v>17506.002102145845</v>
      </c>
      <c r="Y8" s="8">
        <f t="shared" si="11"/>
        <v>17506.002102145845</v>
      </c>
      <c r="Z8" s="8">
        <f t="shared" si="11"/>
        <v>17506.002102145845</v>
      </c>
      <c r="AA8" s="8">
        <f t="shared" si="11"/>
        <v>17506.002102145845</v>
      </c>
      <c r="AB8" s="8">
        <f t="shared" si="11"/>
        <v>17506.002102145845</v>
      </c>
      <c r="AC8" s="8">
        <f t="shared" si="11"/>
        <v>17506.002102145845</v>
      </c>
    </row>
    <row r="9" spans="1:29" x14ac:dyDescent="0.25">
      <c r="A9" s="4">
        <v>116</v>
      </c>
      <c r="B9" s="5">
        <v>582.41</v>
      </c>
      <c r="C9" s="9">
        <f t="shared" si="0"/>
        <v>3.2587081100377016E-2</v>
      </c>
      <c r="E9" s="5">
        <f t="shared" si="6"/>
        <v>6179.6270100299816</v>
      </c>
      <c r="F9" s="8">
        <f t="shared" si="1"/>
        <v>514.96891750249847</v>
      </c>
      <c r="H9" s="5">
        <f t="shared" si="7"/>
        <v>660.83341763454553</v>
      </c>
      <c r="I9" s="8">
        <f t="shared" si="2"/>
        <v>55.069451469545463</v>
      </c>
      <c r="K9" s="8">
        <f t="shared" si="3"/>
        <v>6840.4604276645268</v>
      </c>
      <c r="L9" s="8">
        <f t="shared" si="8"/>
        <v>570.03836897204394</v>
      </c>
      <c r="N9" s="8">
        <f t="shared" si="9"/>
        <v>148.45957233547324</v>
      </c>
      <c r="O9" s="8">
        <f t="shared" si="4"/>
        <v>12.371631027956028</v>
      </c>
    </row>
    <row r="10" spans="1:29" x14ac:dyDescent="0.25">
      <c r="A10" s="4">
        <v>121</v>
      </c>
      <c r="B10" s="5">
        <v>582.41</v>
      </c>
      <c r="C10" s="9">
        <f t="shared" si="0"/>
        <v>3.2587081100377016E-2</v>
      </c>
      <c r="E10" s="5">
        <f t="shared" si="6"/>
        <v>6179.6270100299816</v>
      </c>
      <c r="F10" s="8">
        <f t="shared" si="1"/>
        <v>514.96891750249847</v>
      </c>
      <c r="H10" s="5">
        <f t="shared" si="7"/>
        <v>660.83341763454553</v>
      </c>
      <c r="I10" s="8">
        <f t="shared" si="2"/>
        <v>55.069451469545463</v>
      </c>
      <c r="K10" s="8">
        <f t="shared" si="3"/>
        <v>6840.4604276645268</v>
      </c>
      <c r="L10" s="8">
        <f t="shared" si="8"/>
        <v>570.03836897204394</v>
      </c>
      <c r="N10" s="8">
        <f t="shared" si="9"/>
        <v>148.45957233547324</v>
      </c>
      <c r="O10" s="8">
        <f t="shared" si="4"/>
        <v>12.371631027956028</v>
      </c>
      <c r="Q10" s="6" t="s">
        <v>90</v>
      </c>
      <c r="R10" s="8">
        <f>SUM(R8:AC8)-K38</f>
        <v>-1237.2128021948156</v>
      </c>
    </row>
    <row r="11" spans="1:29" x14ac:dyDescent="0.25">
      <c r="A11" s="4">
        <v>122</v>
      </c>
      <c r="B11" s="5">
        <v>582.41</v>
      </c>
      <c r="C11" s="9">
        <f t="shared" si="0"/>
        <v>3.2587081100377016E-2</v>
      </c>
      <c r="E11" s="5">
        <f t="shared" si="6"/>
        <v>6179.6270100299816</v>
      </c>
      <c r="F11" s="8">
        <f t="shared" si="1"/>
        <v>514.96891750249847</v>
      </c>
      <c r="H11" s="5">
        <f t="shared" si="7"/>
        <v>660.83341763454553</v>
      </c>
      <c r="I11" s="8">
        <f t="shared" si="2"/>
        <v>55.069451469545463</v>
      </c>
      <c r="K11" s="8">
        <f t="shared" si="3"/>
        <v>6840.4604276645268</v>
      </c>
      <c r="L11" s="8">
        <f t="shared" si="8"/>
        <v>570.03836897204394</v>
      </c>
      <c r="N11" s="8">
        <f t="shared" si="9"/>
        <v>148.45957233547324</v>
      </c>
      <c r="O11" s="8">
        <f t="shared" si="4"/>
        <v>12.371631027956028</v>
      </c>
    </row>
    <row r="12" spans="1:29" x14ac:dyDescent="0.25">
      <c r="A12" s="4">
        <v>123</v>
      </c>
      <c r="B12" s="5">
        <v>499.21</v>
      </c>
      <c r="C12" s="9">
        <f t="shared" si="0"/>
        <v>2.7931863731940058E-2</v>
      </c>
      <c r="E12" s="5">
        <f>$E$1*C12</f>
        <v>5296.8383092272916</v>
      </c>
      <c r="F12" s="8">
        <f t="shared" si="1"/>
        <v>441.40319243560765</v>
      </c>
      <c r="H12" s="5">
        <f t="shared" si="7"/>
        <v>566.43026462001239</v>
      </c>
      <c r="I12" s="8">
        <f t="shared" si="2"/>
        <v>47.2025220516677</v>
      </c>
      <c r="K12" s="8">
        <f t="shared" si="3"/>
        <v>5863.2685738473037</v>
      </c>
      <c r="L12" s="8">
        <f t="shared" si="8"/>
        <v>488.60571448727529</v>
      </c>
      <c r="N12" s="8">
        <f t="shared" si="9"/>
        <v>127.25142615269579</v>
      </c>
      <c r="O12" s="8">
        <f t="shared" si="4"/>
        <v>10.604285512724687</v>
      </c>
    </row>
    <row r="13" spans="1:29" x14ac:dyDescent="0.25">
      <c r="A13" s="4">
        <v>124</v>
      </c>
      <c r="B13" s="85">
        <v>699.62</v>
      </c>
      <c r="C13" s="86">
        <f>B13/$B$38</f>
        <v>3.914523047242624E-2</v>
      </c>
      <c r="E13" s="85">
        <f>$E$1*C13</f>
        <v>7423.2768131680004</v>
      </c>
      <c r="F13" s="8">
        <f>E13/12</f>
        <v>618.60640109733333</v>
      </c>
      <c r="H13" s="5">
        <f t="shared" si="7"/>
        <v>793.82612875033169</v>
      </c>
      <c r="I13" s="8">
        <f>H13/10</f>
        <v>79.382612875033175</v>
      </c>
      <c r="K13" s="8">
        <f t="shared" si="3"/>
        <v>8217.1029419183324</v>
      </c>
      <c r="L13" s="8">
        <f>K13/12</f>
        <v>684.75857849319436</v>
      </c>
      <c r="N13" s="8">
        <f t="shared" si="9"/>
        <v>178.33705808166815</v>
      </c>
      <c r="O13" s="8">
        <f t="shared" si="4"/>
        <v>14.861421506805641</v>
      </c>
      <c r="Q13" s="6" t="s">
        <v>352</v>
      </c>
      <c r="S13" s="87" t="s">
        <v>352</v>
      </c>
    </row>
    <row r="14" spans="1:29" x14ac:dyDescent="0.25">
      <c r="A14" s="4">
        <v>211</v>
      </c>
      <c r="B14" s="5">
        <v>582.41</v>
      </c>
      <c r="C14" s="9">
        <f t="shared" si="0"/>
        <v>3.2587081100377016E-2</v>
      </c>
      <c r="E14" s="5">
        <f t="shared" si="6"/>
        <v>6179.6270100299816</v>
      </c>
      <c r="F14" s="8">
        <f t="shared" ref="F14:F36" si="12">E14/12</f>
        <v>514.96891750249847</v>
      </c>
      <c r="H14" s="5">
        <f t="shared" si="7"/>
        <v>660.83341763454553</v>
      </c>
      <c r="I14" s="8">
        <f t="shared" ref="I14:I36" si="13">H14/12</f>
        <v>55.069451469545463</v>
      </c>
      <c r="K14" s="8">
        <f t="shared" si="3"/>
        <v>6840.4604276645268</v>
      </c>
      <c r="L14" s="8">
        <f t="shared" ref="L14:L36" si="14">K14/12</f>
        <v>570.03836897204394</v>
      </c>
      <c r="N14" s="8">
        <f t="shared" si="9"/>
        <v>148.45957233547324</v>
      </c>
      <c r="O14" s="8">
        <f t="shared" si="4"/>
        <v>12.371631027956028</v>
      </c>
    </row>
    <row r="15" spans="1:29" x14ac:dyDescent="0.25">
      <c r="A15" s="4">
        <v>212</v>
      </c>
      <c r="B15" s="5">
        <v>582.41</v>
      </c>
      <c r="C15" s="9">
        <f t="shared" si="0"/>
        <v>3.2587081100377016E-2</v>
      </c>
      <c r="E15" s="5">
        <f t="shared" si="6"/>
        <v>6179.6270100299816</v>
      </c>
      <c r="F15" s="8">
        <f t="shared" si="12"/>
        <v>514.96891750249847</v>
      </c>
      <c r="H15" s="5">
        <f t="shared" si="7"/>
        <v>660.83341763454553</v>
      </c>
      <c r="I15" s="8">
        <f t="shared" si="13"/>
        <v>55.069451469545463</v>
      </c>
      <c r="K15" s="8">
        <f t="shared" si="3"/>
        <v>6840.4604276645268</v>
      </c>
      <c r="L15" s="8">
        <f t="shared" si="14"/>
        <v>570.03836897204394</v>
      </c>
      <c r="N15" s="8">
        <f t="shared" si="9"/>
        <v>148.45957233547324</v>
      </c>
      <c r="O15" s="8">
        <f t="shared" si="4"/>
        <v>12.371631027956028</v>
      </c>
    </row>
    <row r="16" spans="1:29" x14ac:dyDescent="0.25">
      <c r="A16" s="4">
        <v>213</v>
      </c>
      <c r="B16" s="5">
        <v>499.21</v>
      </c>
      <c r="C16" s="9">
        <f t="shared" si="0"/>
        <v>2.7931863731940058E-2</v>
      </c>
      <c r="E16" s="5">
        <f t="shared" si="6"/>
        <v>5296.8383092272916</v>
      </c>
      <c r="F16" s="8">
        <f t="shared" si="12"/>
        <v>441.40319243560765</v>
      </c>
      <c r="H16" s="5">
        <f t="shared" si="7"/>
        <v>566.43026462001239</v>
      </c>
      <c r="I16" s="8">
        <f t="shared" si="13"/>
        <v>47.2025220516677</v>
      </c>
      <c r="K16" s="8">
        <f t="shared" si="3"/>
        <v>5863.2685738473037</v>
      </c>
      <c r="L16" s="8">
        <f t="shared" si="14"/>
        <v>488.60571448727529</v>
      </c>
      <c r="N16" s="8">
        <f t="shared" si="9"/>
        <v>127.25142615269579</v>
      </c>
      <c r="O16" s="8">
        <f t="shared" si="4"/>
        <v>10.604285512724687</v>
      </c>
    </row>
    <row r="17" spans="1:15" x14ac:dyDescent="0.25">
      <c r="A17" s="4">
        <v>214</v>
      </c>
      <c r="B17" s="5">
        <v>499.21</v>
      </c>
      <c r="C17" s="9">
        <f t="shared" si="0"/>
        <v>2.7931863731940058E-2</v>
      </c>
      <c r="E17" s="5">
        <f t="shared" si="6"/>
        <v>5296.8383092272916</v>
      </c>
      <c r="F17" s="8">
        <f t="shared" si="12"/>
        <v>441.40319243560765</v>
      </c>
      <c r="H17" s="5">
        <f t="shared" si="7"/>
        <v>566.43026462001239</v>
      </c>
      <c r="I17" s="8">
        <f t="shared" si="13"/>
        <v>47.2025220516677</v>
      </c>
      <c r="K17" s="8">
        <f t="shared" si="3"/>
        <v>5863.2685738473037</v>
      </c>
      <c r="L17" s="8">
        <f t="shared" si="14"/>
        <v>488.60571448727529</v>
      </c>
      <c r="N17" s="8">
        <f t="shared" si="9"/>
        <v>127.25142615269579</v>
      </c>
      <c r="O17" s="8">
        <f t="shared" si="4"/>
        <v>10.604285512724687</v>
      </c>
    </row>
    <row r="18" spans="1:15" x14ac:dyDescent="0.25">
      <c r="A18" s="4">
        <v>215</v>
      </c>
      <c r="B18" s="5">
        <v>582.41</v>
      </c>
      <c r="C18" s="9">
        <f t="shared" si="0"/>
        <v>3.2587081100377016E-2</v>
      </c>
      <c r="E18" s="5">
        <f t="shared" si="6"/>
        <v>6179.6270100299816</v>
      </c>
      <c r="F18" s="8">
        <f t="shared" si="12"/>
        <v>514.96891750249847</v>
      </c>
      <c r="H18" s="5">
        <f t="shared" si="7"/>
        <v>660.83341763454553</v>
      </c>
      <c r="I18" s="8">
        <f t="shared" si="13"/>
        <v>55.069451469545463</v>
      </c>
      <c r="K18" s="8">
        <f t="shared" si="3"/>
        <v>6840.4604276645268</v>
      </c>
      <c r="L18" s="8">
        <f t="shared" si="14"/>
        <v>570.03836897204394</v>
      </c>
      <c r="N18" s="8">
        <f t="shared" si="9"/>
        <v>148.45957233547324</v>
      </c>
      <c r="O18" s="8">
        <f t="shared" si="4"/>
        <v>12.371631027956028</v>
      </c>
    </row>
    <row r="19" spans="1:15" x14ac:dyDescent="0.25">
      <c r="A19" s="4">
        <v>216</v>
      </c>
      <c r="B19" s="5">
        <v>582.41</v>
      </c>
      <c r="C19" s="9">
        <f t="shared" si="0"/>
        <v>3.2587081100377016E-2</v>
      </c>
      <c r="E19" s="5">
        <f t="shared" si="6"/>
        <v>6179.6270100299816</v>
      </c>
      <c r="F19" s="8">
        <f t="shared" si="12"/>
        <v>514.96891750249847</v>
      </c>
      <c r="H19" s="5">
        <f t="shared" si="7"/>
        <v>660.83341763454553</v>
      </c>
      <c r="I19" s="8">
        <f t="shared" si="13"/>
        <v>55.069451469545463</v>
      </c>
      <c r="K19" s="8">
        <f t="shared" si="3"/>
        <v>6840.4604276645268</v>
      </c>
      <c r="L19" s="8">
        <f t="shared" si="14"/>
        <v>570.03836897204394</v>
      </c>
      <c r="N19" s="8">
        <f t="shared" si="9"/>
        <v>148.45957233547324</v>
      </c>
      <c r="O19" s="8">
        <f t="shared" si="4"/>
        <v>12.371631027956028</v>
      </c>
    </row>
    <row r="20" spans="1:15" x14ac:dyDescent="0.25">
      <c r="A20" s="4">
        <v>221</v>
      </c>
      <c r="B20" s="5">
        <v>582.41</v>
      </c>
      <c r="C20" s="9">
        <f t="shared" si="0"/>
        <v>3.2587081100377016E-2</v>
      </c>
      <c r="E20" s="5">
        <f t="shared" si="6"/>
        <v>6179.6270100299816</v>
      </c>
      <c r="F20" s="8">
        <f t="shared" si="12"/>
        <v>514.96891750249847</v>
      </c>
      <c r="H20" s="5">
        <f t="shared" si="7"/>
        <v>660.83341763454553</v>
      </c>
      <c r="I20" s="8">
        <f t="shared" si="13"/>
        <v>55.069451469545463</v>
      </c>
      <c r="K20" s="8">
        <f t="shared" si="3"/>
        <v>6840.4604276645268</v>
      </c>
      <c r="L20" s="8">
        <f t="shared" si="14"/>
        <v>570.03836897204394</v>
      </c>
      <c r="N20" s="8">
        <f t="shared" si="9"/>
        <v>148.45957233547324</v>
      </c>
      <c r="O20" s="8">
        <f t="shared" si="4"/>
        <v>12.371631027956028</v>
      </c>
    </row>
    <row r="21" spans="1:15" x14ac:dyDescent="0.25">
      <c r="A21" s="4">
        <v>222</v>
      </c>
      <c r="B21" s="5">
        <v>582.41</v>
      </c>
      <c r="C21" s="9">
        <f t="shared" si="0"/>
        <v>3.2587081100377016E-2</v>
      </c>
      <c r="E21" s="5">
        <f t="shared" si="6"/>
        <v>6179.6270100299816</v>
      </c>
      <c r="F21" s="8">
        <f t="shared" si="12"/>
        <v>514.96891750249847</v>
      </c>
      <c r="H21" s="5">
        <f t="shared" si="7"/>
        <v>660.83341763454553</v>
      </c>
      <c r="I21" s="8">
        <f t="shared" si="13"/>
        <v>55.069451469545463</v>
      </c>
      <c r="K21" s="8">
        <f t="shared" si="3"/>
        <v>6840.4604276645268</v>
      </c>
      <c r="L21" s="8">
        <f t="shared" si="14"/>
        <v>570.03836897204394</v>
      </c>
      <c r="N21" s="8">
        <f t="shared" si="9"/>
        <v>148.45957233547324</v>
      </c>
      <c r="O21" s="8">
        <f t="shared" si="4"/>
        <v>12.371631027956028</v>
      </c>
    </row>
    <row r="22" spans="1:15" x14ac:dyDescent="0.25">
      <c r="A22" s="4">
        <v>223</v>
      </c>
      <c r="B22" s="5">
        <v>499.21</v>
      </c>
      <c r="C22" s="9">
        <f t="shared" si="0"/>
        <v>2.7931863731940058E-2</v>
      </c>
      <c r="E22" s="5">
        <f t="shared" si="6"/>
        <v>5296.8383092272916</v>
      </c>
      <c r="F22" s="8">
        <f t="shared" si="12"/>
        <v>441.40319243560765</v>
      </c>
      <c r="H22" s="5">
        <f t="shared" si="7"/>
        <v>566.43026462001239</v>
      </c>
      <c r="I22" s="8">
        <f t="shared" si="13"/>
        <v>47.2025220516677</v>
      </c>
      <c r="K22" s="8">
        <f t="shared" si="3"/>
        <v>5863.2685738473037</v>
      </c>
      <c r="L22" s="8">
        <f t="shared" si="14"/>
        <v>488.60571448727529</v>
      </c>
      <c r="N22" s="8">
        <f t="shared" si="9"/>
        <v>127.25142615269579</v>
      </c>
      <c r="O22" s="8">
        <f t="shared" si="4"/>
        <v>10.604285512724687</v>
      </c>
    </row>
    <row r="23" spans="1:15" x14ac:dyDescent="0.25">
      <c r="A23" s="4">
        <v>224</v>
      </c>
      <c r="B23" s="5">
        <v>499.21</v>
      </c>
      <c r="C23" s="9">
        <f t="shared" si="0"/>
        <v>2.7931863731940058E-2</v>
      </c>
      <c r="E23" s="5">
        <f t="shared" si="6"/>
        <v>5296.8383092272916</v>
      </c>
      <c r="F23" s="8">
        <f t="shared" si="12"/>
        <v>441.40319243560765</v>
      </c>
      <c r="H23" s="5">
        <f t="shared" si="7"/>
        <v>566.43026462001239</v>
      </c>
      <c r="I23" s="8">
        <f t="shared" si="13"/>
        <v>47.2025220516677</v>
      </c>
      <c r="K23" s="8">
        <f t="shared" si="3"/>
        <v>5863.2685738473037</v>
      </c>
      <c r="L23" s="8">
        <f t="shared" si="14"/>
        <v>488.60571448727529</v>
      </c>
      <c r="N23" s="8">
        <f t="shared" si="9"/>
        <v>127.25142615269579</v>
      </c>
      <c r="O23" s="8">
        <f t="shared" si="4"/>
        <v>10.604285512724687</v>
      </c>
    </row>
    <row r="24" spans="1:15" x14ac:dyDescent="0.25">
      <c r="A24" s="4">
        <v>225</v>
      </c>
      <c r="B24" s="5">
        <v>399.37</v>
      </c>
      <c r="C24" s="9">
        <f t="shared" si="0"/>
        <v>2.2345602889815713E-2</v>
      </c>
      <c r="E24" s="5">
        <f t="shared" si="6"/>
        <v>4237.4918682640646</v>
      </c>
      <c r="F24" s="8">
        <f t="shared" si="12"/>
        <v>353.12432235533873</v>
      </c>
      <c r="H24" s="5">
        <f t="shared" si="7"/>
        <v>453.14648100257284</v>
      </c>
      <c r="I24" s="8">
        <f t="shared" si="13"/>
        <v>37.762206750214403</v>
      </c>
      <c r="K24" s="8">
        <f t="shared" si="3"/>
        <v>4690.6383492666373</v>
      </c>
      <c r="L24" s="8">
        <f t="shared" si="14"/>
        <v>390.88652910555311</v>
      </c>
      <c r="N24" s="8">
        <f t="shared" si="9"/>
        <v>101.8016507333632</v>
      </c>
      <c r="O24" s="8">
        <f t="shared" si="4"/>
        <v>8.4834708944468957</v>
      </c>
    </row>
    <row r="25" spans="1:15" x14ac:dyDescent="0.25">
      <c r="A25" s="4">
        <v>226</v>
      </c>
      <c r="B25" s="5">
        <v>399.37</v>
      </c>
      <c r="C25" s="9">
        <f t="shared" si="0"/>
        <v>2.2345602889815713E-2</v>
      </c>
      <c r="E25" s="5">
        <f t="shared" si="6"/>
        <v>4237.4918682640646</v>
      </c>
      <c r="F25" s="8">
        <f t="shared" si="12"/>
        <v>353.12432235533873</v>
      </c>
      <c r="H25" s="5">
        <f t="shared" si="7"/>
        <v>453.14648100257284</v>
      </c>
      <c r="I25" s="8">
        <f t="shared" si="13"/>
        <v>37.762206750214403</v>
      </c>
      <c r="K25" s="8">
        <f t="shared" si="3"/>
        <v>4690.6383492666373</v>
      </c>
      <c r="L25" s="8">
        <f t="shared" si="14"/>
        <v>390.88652910555311</v>
      </c>
      <c r="N25" s="8">
        <f t="shared" si="9"/>
        <v>101.8016507333632</v>
      </c>
      <c r="O25" s="8">
        <f t="shared" si="4"/>
        <v>8.4834708944468957</v>
      </c>
    </row>
    <row r="26" spans="1:15" x14ac:dyDescent="0.25">
      <c r="A26" s="4">
        <v>227</v>
      </c>
      <c r="B26" s="5">
        <v>399.37</v>
      </c>
      <c r="C26" s="9">
        <f t="shared" si="0"/>
        <v>2.2345602889815713E-2</v>
      </c>
      <c r="E26" s="5">
        <f t="shared" si="6"/>
        <v>4237.4918682640646</v>
      </c>
      <c r="F26" s="8">
        <f t="shared" si="12"/>
        <v>353.12432235533873</v>
      </c>
      <c r="H26" s="5">
        <f t="shared" si="7"/>
        <v>453.14648100257284</v>
      </c>
      <c r="I26" s="8">
        <f t="shared" si="13"/>
        <v>37.762206750214403</v>
      </c>
      <c r="K26" s="8">
        <f t="shared" si="3"/>
        <v>4690.6383492666373</v>
      </c>
      <c r="L26" s="8">
        <f t="shared" si="14"/>
        <v>390.88652910555311</v>
      </c>
      <c r="N26" s="8">
        <f t="shared" si="9"/>
        <v>101.8016507333632</v>
      </c>
      <c r="O26" s="8">
        <f t="shared" si="4"/>
        <v>8.4834708944468957</v>
      </c>
    </row>
    <row r="27" spans="1:15" x14ac:dyDescent="0.25">
      <c r="A27" s="4">
        <v>311</v>
      </c>
      <c r="B27" s="5">
        <v>582.41</v>
      </c>
      <c r="C27" s="9">
        <f t="shared" si="0"/>
        <v>3.2587081100377016E-2</v>
      </c>
      <c r="E27" s="5">
        <f t="shared" si="6"/>
        <v>6179.6270100299816</v>
      </c>
      <c r="F27" s="8">
        <f t="shared" si="12"/>
        <v>514.96891750249847</v>
      </c>
      <c r="H27" s="5">
        <f t="shared" si="7"/>
        <v>660.83341763454553</v>
      </c>
      <c r="I27" s="8">
        <f t="shared" si="13"/>
        <v>55.069451469545463</v>
      </c>
      <c r="K27" s="8">
        <f t="shared" si="3"/>
        <v>6840.4604276645268</v>
      </c>
      <c r="L27" s="8">
        <f t="shared" si="14"/>
        <v>570.03836897204394</v>
      </c>
      <c r="N27" s="8">
        <f t="shared" si="9"/>
        <v>148.45957233547324</v>
      </c>
      <c r="O27" s="8">
        <f t="shared" si="4"/>
        <v>12.371631027956028</v>
      </c>
    </row>
    <row r="28" spans="1:15" x14ac:dyDescent="0.25">
      <c r="A28" s="4">
        <v>312</v>
      </c>
      <c r="B28" s="5">
        <v>582.41</v>
      </c>
      <c r="C28" s="9">
        <f t="shared" si="0"/>
        <v>3.2587081100377016E-2</v>
      </c>
      <c r="E28" s="5">
        <f t="shared" si="6"/>
        <v>6179.6270100299816</v>
      </c>
      <c r="F28" s="8">
        <f t="shared" si="12"/>
        <v>514.96891750249847</v>
      </c>
      <c r="H28" s="5">
        <f t="shared" si="7"/>
        <v>660.83341763454553</v>
      </c>
      <c r="I28" s="8">
        <f t="shared" si="13"/>
        <v>55.069451469545463</v>
      </c>
      <c r="K28" s="8">
        <f t="shared" si="3"/>
        <v>6840.4604276645268</v>
      </c>
      <c r="L28" s="8">
        <f t="shared" si="14"/>
        <v>570.03836897204394</v>
      </c>
      <c r="N28" s="8">
        <f t="shared" si="9"/>
        <v>148.45957233547324</v>
      </c>
      <c r="O28" s="8">
        <f t="shared" si="4"/>
        <v>12.371631027956028</v>
      </c>
    </row>
    <row r="29" spans="1:15" x14ac:dyDescent="0.25">
      <c r="A29" s="4">
        <v>313</v>
      </c>
      <c r="B29" s="5">
        <v>499.21</v>
      </c>
      <c r="C29" s="9">
        <f t="shared" si="0"/>
        <v>2.7931863731940058E-2</v>
      </c>
      <c r="E29" s="5">
        <f t="shared" si="6"/>
        <v>5296.8383092272916</v>
      </c>
      <c r="F29" s="8">
        <f t="shared" si="12"/>
        <v>441.40319243560765</v>
      </c>
      <c r="H29" s="5">
        <f t="shared" si="7"/>
        <v>566.43026462001239</v>
      </c>
      <c r="I29" s="8">
        <f t="shared" si="13"/>
        <v>47.2025220516677</v>
      </c>
      <c r="K29" s="8">
        <f t="shared" si="3"/>
        <v>5863.2685738473037</v>
      </c>
      <c r="L29" s="8">
        <f t="shared" si="14"/>
        <v>488.60571448727529</v>
      </c>
      <c r="N29" s="8">
        <f t="shared" si="9"/>
        <v>127.25142615269579</v>
      </c>
      <c r="O29" s="8">
        <f t="shared" si="4"/>
        <v>10.604285512724687</v>
      </c>
    </row>
    <row r="30" spans="1:15" x14ac:dyDescent="0.25">
      <c r="A30" s="4">
        <v>314</v>
      </c>
      <c r="B30" s="5">
        <v>499.21</v>
      </c>
      <c r="C30" s="9">
        <f t="shared" si="0"/>
        <v>2.7931863731940058E-2</v>
      </c>
      <c r="E30" s="5">
        <f t="shared" si="6"/>
        <v>5296.8383092272916</v>
      </c>
      <c r="F30" s="8">
        <f t="shared" si="12"/>
        <v>441.40319243560765</v>
      </c>
      <c r="H30" s="5">
        <f t="shared" si="7"/>
        <v>566.43026462001239</v>
      </c>
      <c r="I30" s="8">
        <f t="shared" si="13"/>
        <v>47.2025220516677</v>
      </c>
      <c r="K30" s="8">
        <f t="shared" si="3"/>
        <v>5863.2685738473037</v>
      </c>
      <c r="L30" s="8">
        <f t="shared" si="14"/>
        <v>488.60571448727529</v>
      </c>
      <c r="N30" s="8">
        <f t="shared" si="9"/>
        <v>127.25142615269579</v>
      </c>
      <c r="O30" s="8">
        <f t="shared" si="4"/>
        <v>10.604285512724687</v>
      </c>
    </row>
    <row r="31" spans="1:15" x14ac:dyDescent="0.25">
      <c r="A31" s="4">
        <v>315</v>
      </c>
      <c r="B31" s="5">
        <v>582.41</v>
      </c>
      <c r="C31" s="9">
        <f t="shared" si="0"/>
        <v>3.2587081100377016E-2</v>
      </c>
      <c r="E31" s="5">
        <f t="shared" si="6"/>
        <v>6179.6270100299816</v>
      </c>
      <c r="F31" s="8">
        <f t="shared" si="12"/>
        <v>514.96891750249847</v>
      </c>
      <c r="H31" s="5">
        <f t="shared" si="7"/>
        <v>660.83341763454553</v>
      </c>
      <c r="I31" s="8">
        <f t="shared" si="13"/>
        <v>55.069451469545463</v>
      </c>
      <c r="K31" s="8">
        <f t="shared" si="3"/>
        <v>6840.4604276645268</v>
      </c>
      <c r="L31" s="8">
        <f t="shared" si="14"/>
        <v>570.03836897204394</v>
      </c>
      <c r="N31" s="8">
        <f t="shared" si="9"/>
        <v>148.45957233547324</v>
      </c>
      <c r="O31" s="8">
        <f t="shared" si="4"/>
        <v>12.371631027956028</v>
      </c>
    </row>
    <row r="32" spans="1:15" x14ac:dyDescent="0.25">
      <c r="A32" s="4">
        <v>316</v>
      </c>
      <c r="B32" s="5">
        <v>582.41</v>
      </c>
      <c r="C32" s="9">
        <f t="shared" si="0"/>
        <v>3.2587081100377016E-2</v>
      </c>
      <c r="E32" s="5">
        <f t="shared" si="6"/>
        <v>6179.6270100299816</v>
      </c>
      <c r="F32" s="8">
        <f t="shared" si="12"/>
        <v>514.96891750249847</v>
      </c>
      <c r="H32" s="5">
        <f t="shared" si="7"/>
        <v>660.83341763454553</v>
      </c>
      <c r="I32" s="8">
        <f t="shared" si="13"/>
        <v>55.069451469545463</v>
      </c>
      <c r="K32" s="8">
        <f t="shared" si="3"/>
        <v>6840.4604276645268</v>
      </c>
      <c r="L32" s="8">
        <f t="shared" si="14"/>
        <v>570.03836897204394</v>
      </c>
      <c r="N32" s="8">
        <f t="shared" si="9"/>
        <v>148.45957233547324</v>
      </c>
      <c r="O32" s="8">
        <f t="shared" si="4"/>
        <v>12.371631027956028</v>
      </c>
    </row>
    <row r="33" spans="1:15" x14ac:dyDescent="0.25">
      <c r="A33" s="4">
        <v>321</v>
      </c>
      <c r="B33" s="5">
        <v>582.41</v>
      </c>
      <c r="C33" s="9">
        <f t="shared" si="0"/>
        <v>3.2587081100377016E-2</v>
      </c>
      <c r="E33" s="5">
        <f t="shared" si="6"/>
        <v>6179.6270100299816</v>
      </c>
      <c r="F33" s="8">
        <f t="shared" si="12"/>
        <v>514.96891750249847</v>
      </c>
      <c r="H33" s="5">
        <f t="shared" si="7"/>
        <v>660.83341763454553</v>
      </c>
      <c r="I33" s="8">
        <f t="shared" si="13"/>
        <v>55.069451469545463</v>
      </c>
      <c r="K33" s="8">
        <f t="shared" si="3"/>
        <v>6840.4604276645268</v>
      </c>
      <c r="L33" s="8">
        <f t="shared" si="14"/>
        <v>570.03836897204394</v>
      </c>
      <c r="N33" s="8">
        <f t="shared" si="9"/>
        <v>148.45957233547324</v>
      </c>
      <c r="O33" s="8">
        <f t="shared" si="4"/>
        <v>12.371631027956028</v>
      </c>
    </row>
    <row r="34" spans="1:15" x14ac:dyDescent="0.25">
      <c r="A34" s="4">
        <v>322</v>
      </c>
      <c r="B34" s="5">
        <v>582.41</v>
      </c>
      <c r="C34" s="9">
        <f t="shared" si="0"/>
        <v>3.2587081100377016E-2</v>
      </c>
      <c r="E34" s="5">
        <f t="shared" si="6"/>
        <v>6179.6270100299816</v>
      </c>
      <c r="F34" s="8">
        <f t="shared" si="12"/>
        <v>514.96891750249847</v>
      </c>
      <c r="H34" s="5">
        <f t="shared" si="7"/>
        <v>660.83341763454553</v>
      </c>
      <c r="I34" s="8">
        <f t="shared" si="13"/>
        <v>55.069451469545463</v>
      </c>
      <c r="K34" s="8">
        <f t="shared" si="3"/>
        <v>6840.4604276645268</v>
      </c>
      <c r="L34" s="8">
        <f t="shared" si="14"/>
        <v>570.03836897204394</v>
      </c>
      <c r="N34" s="8">
        <f t="shared" si="9"/>
        <v>148.45957233547324</v>
      </c>
      <c r="O34" s="8">
        <f t="shared" si="4"/>
        <v>12.371631027956028</v>
      </c>
    </row>
    <row r="35" spans="1:15" x14ac:dyDescent="0.25">
      <c r="A35" s="4">
        <v>323</v>
      </c>
      <c r="B35" s="5">
        <v>499.21</v>
      </c>
      <c r="C35" s="9">
        <f t="shared" si="0"/>
        <v>2.7931863731940058E-2</v>
      </c>
      <c r="E35" s="5">
        <f t="shared" si="6"/>
        <v>5296.8383092272916</v>
      </c>
      <c r="F35" s="8">
        <f t="shared" si="12"/>
        <v>441.40319243560765</v>
      </c>
      <c r="H35" s="5">
        <f t="shared" si="7"/>
        <v>566.43026462001239</v>
      </c>
      <c r="I35" s="8">
        <f t="shared" si="13"/>
        <v>47.2025220516677</v>
      </c>
      <c r="K35" s="8">
        <f t="shared" si="3"/>
        <v>5863.2685738473037</v>
      </c>
      <c r="L35" s="8">
        <f t="shared" si="14"/>
        <v>488.60571448727529</v>
      </c>
      <c r="N35" s="8">
        <f t="shared" si="9"/>
        <v>127.25142615269579</v>
      </c>
      <c r="O35" s="8">
        <f t="shared" si="4"/>
        <v>10.604285512724687</v>
      </c>
    </row>
    <row r="36" spans="1:15" x14ac:dyDescent="0.25">
      <c r="A36" s="4">
        <v>324</v>
      </c>
      <c r="B36" s="5">
        <v>499.21</v>
      </c>
      <c r="C36" s="9">
        <f t="shared" si="0"/>
        <v>2.7931863731940058E-2</v>
      </c>
      <c r="E36" s="5">
        <f t="shared" si="6"/>
        <v>5296.8383092272916</v>
      </c>
      <c r="F36" s="8">
        <f t="shared" si="12"/>
        <v>441.40319243560765</v>
      </c>
      <c r="H36" s="5">
        <f t="shared" si="7"/>
        <v>566.43026462001239</v>
      </c>
      <c r="I36" s="8">
        <f t="shared" si="13"/>
        <v>47.2025220516677</v>
      </c>
      <c r="K36" s="8">
        <f t="shared" si="3"/>
        <v>5863.2685738473037</v>
      </c>
      <c r="L36" s="8">
        <f t="shared" si="14"/>
        <v>488.60571448727529</v>
      </c>
      <c r="N36" s="8">
        <f t="shared" si="9"/>
        <v>127.25142615269579</v>
      </c>
      <c r="O36" s="8">
        <f t="shared" si="4"/>
        <v>10.604285512724687</v>
      </c>
    </row>
    <row r="38" spans="1:15" s="6" customFormat="1" x14ac:dyDescent="0.25">
      <c r="B38" s="7">
        <f>SUM(B4:B37)</f>
        <v>17872.419999999995</v>
      </c>
      <c r="E38" s="7">
        <f>SUM(E4:E37)</f>
        <v>189634.26</v>
      </c>
      <c r="H38" s="7">
        <f>SUM(H4:H37)</f>
        <v>20279.000000000004</v>
      </c>
      <c r="K38" s="7">
        <f>SUM(K4:K37)</f>
        <v>209913.26000000015</v>
      </c>
    </row>
  </sheetData>
  <mergeCells count="5">
    <mergeCell ref="A1:C1"/>
    <mergeCell ref="E2:F2"/>
    <mergeCell ref="H2:I2"/>
    <mergeCell ref="K2:L2"/>
    <mergeCell ref="N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2023-24 Proposed Budget</vt:lpstr>
      <vt:lpstr>2023-2024 Budg v Act</vt:lpstr>
      <vt:lpstr>Dues Allocation</vt:lpstr>
      <vt:lpstr>2023-2024 Income Stmt Forecast</vt:lpstr>
      <vt:lpstr>2024-2025 Approved Budget</vt:lpstr>
      <vt:lpstr>Mtg Copy</vt:lpstr>
      <vt:lpstr>Flat Dues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Kyle Gorman</cp:lastModifiedBy>
  <cp:lastPrinted>2024-10-23T19:14:31Z</cp:lastPrinted>
  <dcterms:created xsi:type="dcterms:W3CDTF">2023-06-30T15:06:51Z</dcterms:created>
  <dcterms:modified xsi:type="dcterms:W3CDTF">2024-10-28T14:21:04Z</dcterms:modified>
</cp:coreProperties>
</file>